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1. 정보봉사팀\11. 꿈자람터\"/>
    </mc:Choice>
  </mc:AlternateContent>
  <xr:revisionPtr revIDLastSave="0" documentId="13_ncr:1_{3D394681-D048-4299-8EB4-47596EA2C6C3}" xr6:coauthVersionLast="36" xr6:coauthVersionMax="36" xr10:uidLastSave="{00000000-0000-0000-0000-000000000000}"/>
  <bookViews>
    <workbookView xWindow="0" yWindow="0" windowWidth="21690" windowHeight="10140" xr2:uid="{9B0B53D3-D409-445A-A77A-D84BE873F343}"/>
  </bookViews>
  <sheets>
    <sheet name="Sheet1" sheetId="1" r:id="rId1"/>
  </sheets>
  <definedNames>
    <definedName name="_xlnm._FilterDatabase" localSheetId="0" hidden="1">Sheet1!$B$1:$B$4420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1" i="1"/>
  <c r="D1" i="1"/>
  <c r="E1" i="1"/>
  <c r="F1" i="1"/>
  <c r="G1" i="1"/>
  <c r="H1" i="1"/>
  <c r="I1" i="1"/>
  <c r="C399" i="1"/>
  <c r="D399" i="1"/>
  <c r="E399" i="1"/>
  <c r="F399" i="1"/>
  <c r="G399" i="1"/>
  <c r="H399" i="1"/>
  <c r="C235" i="1"/>
  <c r="D235" i="1"/>
  <c r="E235" i="1"/>
  <c r="F235" i="1"/>
  <c r="G235" i="1"/>
  <c r="H235" i="1"/>
  <c r="C194" i="1"/>
  <c r="D194" i="1"/>
  <c r="E194" i="1"/>
  <c r="F194" i="1"/>
  <c r="G194" i="1"/>
  <c r="H194" i="1"/>
  <c r="C4290" i="1"/>
  <c r="D4290" i="1"/>
  <c r="E4290" i="1"/>
  <c r="F4290" i="1"/>
  <c r="G4290" i="1"/>
  <c r="H4290" i="1"/>
  <c r="C990" i="1"/>
  <c r="D990" i="1"/>
  <c r="E990" i="1"/>
  <c r="F990" i="1"/>
  <c r="G990" i="1"/>
  <c r="H990" i="1"/>
  <c r="C316" i="1"/>
  <c r="D316" i="1"/>
  <c r="E316" i="1"/>
  <c r="F316" i="1"/>
  <c r="G316" i="1"/>
  <c r="H316" i="1"/>
  <c r="C146" i="1"/>
  <c r="D146" i="1"/>
  <c r="E146" i="1"/>
  <c r="F146" i="1"/>
  <c r="G146" i="1"/>
  <c r="H146" i="1"/>
  <c r="C24" i="1"/>
  <c r="D24" i="1"/>
  <c r="E24" i="1"/>
  <c r="F24" i="1"/>
  <c r="G24" i="1"/>
  <c r="H24" i="1"/>
  <c r="C2078" i="1"/>
  <c r="D2078" i="1"/>
  <c r="E2078" i="1"/>
  <c r="F2078" i="1"/>
  <c r="G2078" i="1"/>
  <c r="H2078" i="1"/>
  <c r="C10" i="1"/>
  <c r="D10" i="1"/>
  <c r="E10" i="1"/>
  <c r="F10" i="1"/>
  <c r="G10" i="1"/>
  <c r="H10" i="1"/>
  <c r="C3" i="1"/>
  <c r="D3" i="1"/>
  <c r="E3" i="1"/>
  <c r="F3" i="1"/>
  <c r="G3" i="1"/>
  <c r="H3" i="1"/>
  <c r="C237" i="1"/>
  <c r="D237" i="1"/>
  <c r="E237" i="1"/>
  <c r="F237" i="1"/>
  <c r="G237" i="1"/>
  <c r="H237" i="1"/>
  <c r="C4291" i="1"/>
  <c r="D4291" i="1"/>
  <c r="E4291" i="1"/>
  <c r="F4291" i="1"/>
  <c r="G4291" i="1"/>
  <c r="H4291" i="1"/>
  <c r="C2993" i="1"/>
  <c r="D2993" i="1"/>
  <c r="E2993" i="1"/>
  <c r="F2993" i="1"/>
  <c r="G2993" i="1"/>
  <c r="H2993" i="1"/>
  <c r="C2906" i="1"/>
  <c r="D2906" i="1"/>
  <c r="E2906" i="1"/>
  <c r="F2906" i="1"/>
  <c r="G2906" i="1"/>
  <c r="H2906" i="1"/>
  <c r="C3276" i="1"/>
  <c r="D3276" i="1"/>
  <c r="E3276" i="1"/>
  <c r="F3276" i="1"/>
  <c r="G3276" i="1"/>
  <c r="H3276" i="1"/>
  <c r="C651" i="1"/>
  <c r="D651" i="1"/>
  <c r="E651" i="1"/>
  <c r="F651" i="1"/>
  <c r="G651" i="1"/>
  <c r="H651" i="1"/>
  <c r="C2692" i="1"/>
  <c r="D2692" i="1"/>
  <c r="E2692" i="1"/>
  <c r="F2692" i="1"/>
  <c r="G2692" i="1"/>
  <c r="H2692" i="1"/>
  <c r="C460" i="1"/>
  <c r="D460" i="1"/>
  <c r="E460" i="1"/>
  <c r="F460" i="1"/>
  <c r="G460" i="1"/>
  <c r="H460" i="1"/>
  <c r="C2319" i="1"/>
  <c r="D2319" i="1"/>
  <c r="E2319" i="1"/>
  <c r="F2319" i="1"/>
  <c r="G2319" i="1"/>
  <c r="H2319" i="1"/>
  <c r="C1811" i="1"/>
  <c r="D1811" i="1"/>
  <c r="E1811" i="1"/>
  <c r="F1811" i="1"/>
  <c r="G1811" i="1"/>
  <c r="H1811" i="1"/>
  <c r="C1812" i="1"/>
  <c r="D1812" i="1"/>
  <c r="E1812" i="1"/>
  <c r="F1812" i="1"/>
  <c r="G1812" i="1"/>
  <c r="H1812" i="1"/>
  <c r="C1528" i="1"/>
  <c r="D1528" i="1"/>
  <c r="E1528" i="1"/>
  <c r="F1528" i="1"/>
  <c r="G1528" i="1"/>
  <c r="H1528" i="1"/>
  <c r="C2693" i="1"/>
  <c r="D2693" i="1"/>
  <c r="E2693" i="1"/>
  <c r="F2693" i="1"/>
  <c r="G2693" i="1"/>
  <c r="H2693" i="1"/>
  <c r="C4292" i="1"/>
  <c r="D4292" i="1"/>
  <c r="E4292" i="1"/>
  <c r="F4292" i="1"/>
  <c r="G4292" i="1"/>
  <c r="H4292" i="1"/>
  <c r="C1529" i="1"/>
  <c r="D1529" i="1"/>
  <c r="E1529" i="1"/>
  <c r="F1529" i="1"/>
  <c r="G1529" i="1"/>
  <c r="H1529" i="1"/>
  <c r="C1388" i="1"/>
  <c r="D1388" i="1"/>
  <c r="E1388" i="1"/>
  <c r="F1388" i="1"/>
  <c r="G1388" i="1"/>
  <c r="H1388" i="1"/>
  <c r="C1530" i="1"/>
  <c r="D1530" i="1"/>
  <c r="E1530" i="1"/>
  <c r="F1530" i="1"/>
  <c r="G1530" i="1"/>
  <c r="H1530" i="1"/>
  <c r="C708" i="1"/>
  <c r="D708" i="1"/>
  <c r="E708" i="1"/>
  <c r="F708" i="1"/>
  <c r="G708" i="1"/>
  <c r="H708" i="1"/>
  <c r="C838" i="1"/>
  <c r="D838" i="1"/>
  <c r="E838" i="1"/>
  <c r="F838" i="1"/>
  <c r="G838" i="1"/>
  <c r="H838" i="1"/>
  <c r="C1813" i="1"/>
  <c r="D1813" i="1"/>
  <c r="E1813" i="1"/>
  <c r="F1813" i="1"/>
  <c r="G1813" i="1"/>
  <c r="H1813" i="1"/>
  <c r="C3131" i="1"/>
  <c r="D3131" i="1"/>
  <c r="E3131" i="1"/>
  <c r="F3131" i="1"/>
  <c r="G3131" i="1"/>
  <c r="H3131" i="1"/>
  <c r="C362" i="1"/>
  <c r="D362" i="1"/>
  <c r="E362" i="1"/>
  <c r="F362" i="1"/>
  <c r="G362" i="1"/>
  <c r="H362" i="1"/>
  <c r="C2694" i="1"/>
  <c r="D2694" i="1"/>
  <c r="E2694" i="1"/>
  <c r="F2694" i="1"/>
  <c r="G2694" i="1"/>
  <c r="H2694" i="1"/>
  <c r="C3277" i="1"/>
  <c r="D3277" i="1"/>
  <c r="E3277" i="1"/>
  <c r="F3277" i="1"/>
  <c r="G3277" i="1"/>
  <c r="H3277" i="1"/>
  <c r="C2695" i="1"/>
  <c r="D2695" i="1"/>
  <c r="E2695" i="1"/>
  <c r="F2695" i="1"/>
  <c r="G2695" i="1"/>
  <c r="H2695" i="1"/>
  <c r="C238" i="1"/>
  <c r="D238" i="1"/>
  <c r="E238" i="1"/>
  <c r="F238" i="1"/>
  <c r="G238" i="1"/>
  <c r="H238" i="1"/>
  <c r="C2696" i="1"/>
  <c r="D2696" i="1"/>
  <c r="E2696" i="1"/>
  <c r="F2696" i="1"/>
  <c r="G2696" i="1"/>
  <c r="H2696" i="1"/>
  <c r="C839" i="1"/>
  <c r="D839" i="1"/>
  <c r="E839" i="1"/>
  <c r="F839" i="1"/>
  <c r="G839" i="1"/>
  <c r="H839" i="1"/>
  <c r="C2805" i="1"/>
  <c r="D2805" i="1"/>
  <c r="E2805" i="1"/>
  <c r="F2805" i="1"/>
  <c r="G2805" i="1"/>
  <c r="H2805" i="1"/>
  <c r="C2806" i="1"/>
  <c r="D2806" i="1"/>
  <c r="E2806" i="1"/>
  <c r="F2806" i="1"/>
  <c r="G2806" i="1"/>
  <c r="H2806" i="1"/>
  <c r="C2211" i="1"/>
  <c r="D2211" i="1"/>
  <c r="E2211" i="1"/>
  <c r="F2211" i="1"/>
  <c r="G2211" i="1"/>
  <c r="H2211" i="1"/>
  <c r="C2320" i="1"/>
  <c r="D2320" i="1"/>
  <c r="E2320" i="1"/>
  <c r="F2320" i="1"/>
  <c r="G2320" i="1"/>
  <c r="H2320" i="1"/>
  <c r="C840" i="1"/>
  <c r="D840" i="1"/>
  <c r="E840" i="1"/>
  <c r="F840" i="1"/>
  <c r="G840" i="1"/>
  <c r="H840" i="1"/>
  <c r="C1262" i="1"/>
  <c r="D1262" i="1"/>
  <c r="E1262" i="1"/>
  <c r="F1262" i="1"/>
  <c r="G1262" i="1"/>
  <c r="H1262" i="1"/>
  <c r="C2697" i="1"/>
  <c r="D2697" i="1"/>
  <c r="E2697" i="1"/>
  <c r="F2697" i="1"/>
  <c r="G2697" i="1"/>
  <c r="H2697" i="1"/>
  <c r="C4293" i="1"/>
  <c r="D4293" i="1"/>
  <c r="E4293" i="1"/>
  <c r="F4293" i="1"/>
  <c r="G4293" i="1"/>
  <c r="H4293" i="1"/>
  <c r="C1263" i="1"/>
  <c r="D1263" i="1"/>
  <c r="E1263" i="1"/>
  <c r="F1263" i="1"/>
  <c r="G1263" i="1"/>
  <c r="H1263" i="1"/>
  <c r="C2576" i="1"/>
  <c r="D2576" i="1"/>
  <c r="E2576" i="1"/>
  <c r="F2576" i="1"/>
  <c r="G2576" i="1"/>
  <c r="H2576" i="1"/>
  <c r="C4294" i="1"/>
  <c r="D4294" i="1"/>
  <c r="E4294" i="1"/>
  <c r="F4294" i="1"/>
  <c r="G4294" i="1"/>
  <c r="H4294" i="1"/>
  <c r="C4295" i="1"/>
  <c r="D4295" i="1"/>
  <c r="E4295" i="1"/>
  <c r="F4295" i="1"/>
  <c r="G4295" i="1"/>
  <c r="H4295" i="1"/>
  <c r="C1948" i="1"/>
  <c r="D1948" i="1"/>
  <c r="E1948" i="1"/>
  <c r="F1948" i="1"/>
  <c r="G1948" i="1"/>
  <c r="H1948" i="1"/>
  <c r="C1672" i="1"/>
  <c r="D1672" i="1"/>
  <c r="E1672" i="1"/>
  <c r="F1672" i="1"/>
  <c r="G1672" i="1"/>
  <c r="H1672" i="1"/>
  <c r="C2321" i="1"/>
  <c r="D2321" i="1"/>
  <c r="E2321" i="1"/>
  <c r="F2321" i="1"/>
  <c r="G2321" i="1"/>
  <c r="H2321" i="1"/>
  <c r="C4296" i="1"/>
  <c r="D4296" i="1"/>
  <c r="E4296" i="1"/>
  <c r="F4296" i="1"/>
  <c r="G4296" i="1"/>
  <c r="H4296" i="1"/>
  <c r="C1673" i="1"/>
  <c r="D1673" i="1"/>
  <c r="E1673" i="1"/>
  <c r="F1673" i="1"/>
  <c r="G1673" i="1"/>
  <c r="H1673" i="1"/>
  <c r="C1674" i="1"/>
  <c r="D1674" i="1"/>
  <c r="E1674" i="1"/>
  <c r="F1674" i="1"/>
  <c r="G1674" i="1"/>
  <c r="H1674" i="1"/>
  <c r="C763" i="1"/>
  <c r="D763" i="1"/>
  <c r="E763" i="1"/>
  <c r="F763" i="1"/>
  <c r="G763" i="1"/>
  <c r="H763" i="1"/>
  <c r="C2322" i="1"/>
  <c r="D2322" i="1"/>
  <c r="E2322" i="1"/>
  <c r="F2322" i="1"/>
  <c r="G2322" i="1"/>
  <c r="H2322" i="1"/>
  <c r="C2577" i="1"/>
  <c r="D2577" i="1"/>
  <c r="E2577" i="1"/>
  <c r="F2577" i="1"/>
  <c r="G2577" i="1"/>
  <c r="H2577" i="1"/>
  <c r="C3070" i="1"/>
  <c r="D3070" i="1"/>
  <c r="E3070" i="1"/>
  <c r="F3070" i="1"/>
  <c r="G3070" i="1"/>
  <c r="H3070" i="1"/>
  <c r="C1814" i="1"/>
  <c r="D1814" i="1"/>
  <c r="E1814" i="1"/>
  <c r="F1814" i="1"/>
  <c r="G1814" i="1"/>
  <c r="H1814" i="1"/>
  <c r="C1675" i="1"/>
  <c r="D1675" i="1"/>
  <c r="E1675" i="1"/>
  <c r="F1675" i="1"/>
  <c r="G1675" i="1"/>
  <c r="H1675" i="1"/>
  <c r="C1676" i="1"/>
  <c r="D1676" i="1"/>
  <c r="E1676" i="1"/>
  <c r="F1676" i="1"/>
  <c r="G1676" i="1"/>
  <c r="H1676" i="1"/>
  <c r="C1510" i="1"/>
  <c r="D1510" i="1"/>
  <c r="E1510" i="1"/>
  <c r="F1510" i="1"/>
  <c r="G1510" i="1"/>
  <c r="H1510" i="1"/>
  <c r="C764" i="1"/>
  <c r="D764" i="1"/>
  <c r="E764" i="1"/>
  <c r="F764" i="1"/>
  <c r="G764" i="1"/>
  <c r="H764" i="1"/>
  <c r="C408" i="1"/>
  <c r="D408" i="1"/>
  <c r="E408" i="1"/>
  <c r="F408" i="1"/>
  <c r="G408" i="1"/>
  <c r="H408" i="1"/>
  <c r="C1815" i="1"/>
  <c r="D1815" i="1"/>
  <c r="E1815" i="1"/>
  <c r="F1815" i="1"/>
  <c r="G1815" i="1"/>
  <c r="H1815" i="1"/>
  <c r="C1677" i="1"/>
  <c r="D1677" i="1"/>
  <c r="E1677" i="1"/>
  <c r="F1677" i="1"/>
  <c r="G1677" i="1"/>
  <c r="H1677" i="1"/>
  <c r="C1678" i="1"/>
  <c r="D1678" i="1"/>
  <c r="E1678" i="1"/>
  <c r="F1678" i="1"/>
  <c r="G1678" i="1"/>
  <c r="H1678" i="1"/>
  <c r="C1679" i="1"/>
  <c r="D1679" i="1"/>
  <c r="E1679" i="1"/>
  <c r="F1679" i="1"/>
  <c r="G1679" i="1"/>
  <c r="H1679" i="1"/>
  <c r="C1949" i="1"/>
  <c r="D1949" i="1"/>
  <c r="E1949" i="1"/>
  <c r="F1949" i="1"/>
  <c r="G1949" i="1"/>
  <c r="H1949" i="1"/>
  <c r="C4297" i="1"/>
  <c r="D4297" i="1"/>
  <c r="E4297" i="1"/>
  <c r="F4297" i="1"/>
  <c r="G4297" i="1"/>
  <c r="H4297" i="1"/>
  <c r="C152" i="1"/>
  <c r="D152" i="1"/>
  <c r="E152" i="1"/>
  <c r="F152" i="1"/>
  <c r="G152" i="1"/>
  <c r="H152" i="1"/>
  <c r="C991" i="1"/>
  <c r="D991" i="1"/>
  <c r="E991" i="1"/>
  <c r="F991" i="1"/>
  <c r="G991" i="1"/>
  <c r="H991" i="1"/>
  <c r="C2953" i="1"/>
  <c r="D2953" i="1"/>
  <c r="E2953" i="1"/>
  <c r="F2953" i="1"/>
  <c r="G2953" i="1"/>
  <c r="H2953" i="1"/>
  <c r="C409" i="1"/>
  <c r="D409" i="1"/>
  <c r="E409" i="1"/>
  <c r="F409" i="1"/>
  <c r="G409" i="1"/>
  <c r="H409" i="1"/>
  <c r="C317" i="1"/>
  <c r="D317" i="1"/>
  <c r="E317" i="1"/>
  <c r="F317" i="1"/>
  <c r="G317" i="1"/>
  <c r="H317" i="1"/>
  <c r="C318" i="1"/>
  <c r="D318" i="1"/>
  <c r="E318" i="1"/>
  <c r="F318" i="1"/>
  <c r="G318" i="1"/>
  <c r="H318" i="1"/>
  <c r="C4298" i="1"/>
  <c r="D4298" i="1"/>
  <c r="E4298" i="1"/>
  <c r="F4298" i="1"/>
  <c r="G4298" i="1"/>
  <c r="H4298" i="1"/>
  <c r="C4299" i="1"/>
  <c r="D4299" i="1"/>
  <c r="E4299" i="1"/>
  <c r="F4299" i="1"/>
  <c r="G4299" i="1"/>
  <c r="H4299" i="1"/>
  <c r="C2456" i="1"/>
  <c r="D2456" i="1"/>
  <c r="E2456" i="1"/>
  <c r="F2456" i="1"/>
  <c r="G2456" i="1"/>
  <c r="H2456" i="1"/>
  <c r="C4300" i="1"/>
  <c r="D4300" i="1"/>
  <c r="E4300" i="1"/>
  <c r="F4300" i="1"/>
  <c r="G4300" i="1"/>
  <c r="H4300" i="1"/>
  <c r="C114" i="1"/>
  <c r="D114" i="1"/>
  <c r="E114" i="1"/>
  <c r="F114" i="1"/>
  <c r="G114" i="1"/>
  <c r="H114" i="1"/>
  <c r="C319" i="1"/>
  <c r="D319" i="1"/>
  <c r="E319" i="1"/>
  <c r="F319" i="1"/>
  <c r="G319" i="1"/>
  <c r="H319" i="1"/>
  <c r="C4301" i="1"/>
  <c r="D4301" i="1"/>
  <c r="E4301" i="1"/>
  <c r="F4301" i="1"/>
  <c r="G4301" i="1"/>
  <c r="H4301" i="1"/>
  <c r="C2079" i="1"/>
  <c r="D2079" i="1"/>
  <c r="E2079" i="1"/>
  <c r="F2079" i="1"/>
  <c r="G2079" i="1"/>
  <c r="H2079" i="1"/>
  <c r="C2212" i="1"/>
  <c r="D2212" i="1"/>
  <c r="E2212" i="1"/>
  <c r="F2212" i="1"/>
  <c r="G2212" i="1"/>
  <c r="H2212" i="1"/>
  <c r="C4302" i="1"/>
  <c r="D4302" i="1"/>
  <c r="E4302" i="1"/>
  <c r="F4302" i="1"/>
  <c r="G4302" i="1"/>
  <c r="H4302" i="1"/>
  <c r="C78" i="1"/>
  <c r="D78" i="1"/>
  <c r="E78" i="1"/>
  <c r="F78" i="1"/>
  <c r="G78" i="1"/>
  <c r="H78" i="1"/>
  <c r="C992" i="1"/>
  <c r="D992" i="1"/>
  <c r="E992" i="1"/>
  <c r="F992" i="1"/>
  <c r="G992" i="1"/>
  <c r="H992" i="1"/>
  <c r="C841" i="1"/>
  <c r="D841" i="1"/>
  <c r="E841" i="1"/>
  <c r="F841" i="1"/>
  <c r="G841" i="1"/>
  <c r="H841" i="1"/>
  <c r="C2213" i="1"/>
  <c r="D2213" i="1"/>
  <c r="E2213" i="1"/>
  <c r="F2213" i="1"/>
  <c r="G2213" i="1"/>
  <c r="H2213" i="1"/>
  <c r="C4303" i="1"/>
  <c r="D4303" i="1"/>
  <c r="E4303" i="1"/>
  <c r="F4303" i="1"/>
  <c r="G4303" i="1"/>
  <c r="H4303" i="1"/>
  <c r="C1113" i="1"/>
  <c r="D1113" i="1"/>
  <c r="E1113" i="1"/>
  <c r="F1113" i="1"/>
  <c r="G1113" i="1"/>
  <c r="H1113" i="1"/>
  <c r="C2578" i="1"/>
  <c r="D2578" i="1"/>
  <c r="E2578" i="1"/>
  <c r="F2578" i="1"/>
  <c r="G2578" i="1"/>
  <c r="H2578" i="1"/>
  <c r="C842" i="1"/>
  <c r="D842" i="1"/>
  <c r="E842" i="1"/>
  <c r="F842" i="1"/>
  <c r="G842" i="1"/>
  <c r="H842" i="1"/>
  <c r="C765" i="1"/>
  <c r="D765" i="1"/>
  <c r="E765" i="1"/>
  <c r="F765" i="1"/>
  <c r="G765" i="1"/>
  <c r="H765" i="1"/>
  <c r="C652" i="1"/>
  <c r="D652" i="1"/>
  <c r="E652" i="1"/>
  <c r="F652" i="1"/>
  <c r="G652" i="1"/>
  <c r="H652" i="1"/>
  <c r="C2907" i="1"/>
  <c r="D2907" i="1"/>
  <c r="E2907" i="1"/>
  <c r="F2907" i="1"/>
  <c r="G2907" i="1"/>
  <c r="H2907" i="1"/>
  <c r="C2579" i="1"/>
  <c r="D2579" i="1"/>
  <c r="E2579" i="1"/>
  <c r="F2579" i="1"/>
  <c r="G2579" i="1"/>
  <c r="H2579" i="1"/>
  <c r="C3071" i="1"/>
  <c r="D3071" i="1"/>
  <c r="E3071" i="1"/>
  <c r="F3071" i="1"/>
  <c r="G3071" i="1"/>
  <c r="H3071" i="1"/>
  <c r="C2994" i="1"/>
  <c r="D2994" i="1"/>
  <c r="E2994" i="1"/>
  <c r="F2994" i="1"/>
  <c r="G2994" i="1"/>
  <c r="H2994" i="1"/>
  <c r="C1680" i="1"/>
  <c r="D1680" i="1"/>
  <c r="E1680" i="1"/>
  <c r="F1680" i="1"/>
  <c r="G1680" i="1"/>
  <c r="H1680" i="1"/>
  <c r="C3410" i="1"/>
  <c r="D3410" i="1"/>
  <c r="E3410" i="1"/>
  <c r="F3410" i="1"/>
  <c r="G3410" i="1"/>
  <c r="H3410" i="1"/>
  <c r="C4304" i="1"/>
  <c r="D4304" i="1"/>
  <c r="E4304" i="1"/>
  <c r="F4304" i="1"/>
  <c r="G4304" i="1"/>
  <c r="H4304" i="1"/>
  <c r="C2214" i="1"/>
  <c r="D2214" i="1"/>
  <c r="E2214" i="1"/>
  <c r="F2214" i="1"/>
  <c r="G2214" i="1"/>
  <c r="H2214" i="1"/>
  <c r="C199" i="1"/>
  <c r="D199" i="1"/>
  <c r="E199" i="1"/>
  <c r="F199" i="1"/>
  <c r="G199" i="1"/>
  <c r="H199" i="1"/>
  <c r="C993" i="1"/>
  <c r="D993" i="1"/>
  <c r="E993" i="1"/>
  <c r="F993" i="1"/>
  <c r="G993" i="1"/>
  <c r="H993" i="1"/>
  <c r="C4305" i="1"/>
  <c r="D4305" i="1"/>
  <c r="E4305" i="1"/>
  <c r="F4305" i="1"/>
  <c r="G4305" i="1"/>
  <c r="H4305" i="1"/>
  <c r="C4306" i="1"/>
  <c r="D4306" i="1"/>
  <c r="E4306" i="1"/>
  <c r="F4306" i="1"/>
  <c r="G4306" i="1"/>
  <c r="H4306" i="1"/>
  <c r="C766" i="1"/>
  <c r="D766" i="1"/>
  <c r="E766" i="1"/>
  <c r="F766" i="1"/>
  <c r="G766" i="1"/>
  <c r="H766" i="1"/>
  <c r="C461" i="1"/>
  <c r="D461" i="1"/>
  <c r="E461" i="1"/>
  <c r="F461" i="1"/>
  <c r="G461" i="1"/>
  <c r="H461" i="1"/>
  <c r="C4307" i="1"/>
  <c r="D4307" i="1"/>
  <c r="E4307" i="1"/>
  <c r="F4307" i="1"/>
  <c r="G4307" i="1"/>
  <c r="H4307" i="1"/>
  <c r="C573" i="1"/>
  <c r="D573" i="1"/>
  <c r="E573" i="1"/>
  <c r="F573" i="1"/>
  <c r="G573" i="1"/>
  <c r="H573" i="1"/>
  <c r="C767" i="1"/>
  <c r="D767" i="1"/>
  <c r="E767" i="1"/>
  <c r="F767" i="1"/>
  <c r="G767" i="1"/>
  <c r="H767" i="1"/>
  <c r="C2995" i="1"/>
  <c r="D2995" i="1"/>
  <c r="E2995" i="1"/>
  <c r="F2995" i="1"/>
  <c r="G2995" i="1"/>
  <c r="H2995" i="1"/>
  <c r="C200" i="1"/>
  <c r="D200" i="1"/>
  <c r="E200" i="1"/>
  <c r="F200" i="1"/>
  <c r="G200" i="1"/>
  <c r="H200" i="1"/>
  <c r="C843" i="1"/>
  <c r="D843" i="1"/>
  <c r="E843" i="1"/>
  <c r="F843" i="1"/>
  <c r="G843" i="1"/>
  <c r="H843" i="1"/>
  <c r="C79" i="1"/>
  <c r="D79" i="1"/>
  <c r="E79" i="1"/>
  <c r="F79" i="1"/>
  <c r="G79" i="1"/>
  <c r="H79" i="1"/>
  <c r="C462" i="1"/>
  <c r="D462" i="1"/>
  <c r="E462" i="1"/>
  <c r="F462" i="1"/>
  <c r="G462" i="1"/>
  <c r="H462" i="1"/>
  <c r="C4308" i="1"/>
  <c r="D4308" i="1"/>
  <c r="E4308" i="1"/>
  <c r="F4308" i="1"/>
  <c r="G4308" i="1"/>
  <c r="H4308" i="1"/>
  <c r="C844" i="1"/>
  <c r="D844" i="1"/>
  <c r="E844" i="1"/>
  <c r="F844" i="1"/>
  <c r="G844" i="1"/>
  <c r="H844" i="1"/>
  <c r="C1816" i="1"/>
  <c r="D1816" i="1"/>
  <c r="E1816" i="1"/>
  <c r="F1816" i="1"/>
  <c r="G1816" i="1"/>
  <c r="H1816" i="1"/>
  <c r="C4309" i="1"/>
  <c r="D4309" i="1"/>
  <c r="E4309" i="1"/>
  <c r="F4309" i="1"/>
  <c r="G4309" i="1"/>
  <c r="H4309" i="1"/>
  <c r="C522" i="1"/>
  <c r="D522" i="1"/>
  <c r="E522" i="1"/>
  <c r="F522" i="1"/>
  <c r="G522" i="1"/>
  <c r="H522" i="1"/>
  <c r="C1950" i="1"/>
  <c r="D1950" i="1"/>
  <c r="E1950" i="1"/>
  <c r="F1950" i="1"/>
  <c r="G1950" i="1"/>
  <c r="H1950" i="1"/>
  <c r="C4310" i="1"/>
  <c r="D4310" i="1"/>
  <c r="E4310" i="1"/>
  <c r="F4310" i="1"/>
  <c r="G4310" i="1"/>
  <c r="H4310" i="1"/>
  <c r="C845" i="1"/>
  <c r="D845" i="1"/>
  <c r="E845" i="1"/>
  <c r="F845" i="1"/>
  <c r="G845" i="1"/>
  <c r="H845" i="1"/>
  <c r="C2550" i="1"/>
  <c r="D2550" i="1"/>
  <c r="E2550" i="1"/>
  <c r="F2550" i="1"/>
  <c r="G2550" i="1"/>
  <c r="H2550" i="1"/>
  <c r="C2" i="1"/>
  <c r="D2" i="1"/>
  <c r="E2" i="1"/>
  <c r="F2" i="1"/>
  <c r="G2" i="1"/>
  <c r="H2" i="1"/>
  <c r="I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C157" i="1"/>
  <c r="D157" i="1"/>
  <c r="E157" i="1"/>
  <c r="F157" i="1"/>
  <c r="G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C209" i="1"/>
  <c r="D209" i="1"/>
  <c r="E209" i="1"/>
  <c r="F209" i="1"/>
  <c r="G209" i="1"/>
  <c r="H209" i="1"/>
  <c r="I209" i="1"/>
  <c r="C210" i="1"/>
  <c r="D210" i="1"/>
  <c r="E210" i="1"/>
  <c r="F210" i="1"/>
  <c r="G210" i="1"/>
  <c r="H210" i="1"/>
  <c r="I210" i="1"/>
  <c r="C211" i="1"/>
  <c r="D211" i="1"/>
  <c r="E211" i="1"/>
  <c r="F211" i="1"/>
  <c r="G211" i="1"/>
  <c r="H211" i="1"/>
  <c r="I211" i="1"/>
  <c r="C212" i="1"/>
  <c r="D212" i="1"/>
  <c r="E212" i="1"/>
  <c r="F212" i="1"/>
  <c r="G212" i="1"/>
  <c r="H212" i="1"/>
  <c r="I212" i="1"/>
  <c r="C213" i="1"/>
  <c r="D213" i="1"/>
  <c r="E213" i="1"/>
  <c r="F213" i="1"/>
  <c r="G213" i="1"/>
  <c r="H213" i="1"/>
  <c r="I213" i="1"/>
  <c r="C214" i="1"/>
  <c r="D214" i="1"/>
  <c r="E214" i="1"/>
  <c r="F214" i="1"/>
  <c r="G214" i="1"/>
  <c r="H214" i="1"/>
  <c r="I214" i="1"/>
  <c r="C215" i="1"/>
  <c r="D215" i="1"/>
  <c r="E215" i="1"/>
  <c r="F215" i="1"/>
  <c r="G215" i="1"/>
  <c r="H215" i="1"/>
  <c r="I215" i="1"/>
  <c r="C216" i="1"/>
  <c r="D216" i="1"/>
  <c r="E216" i="1"/>
  <c r="F216" i="1"/>
  <c r="G216" i="1"/>
  <c r="H216" i="1"/>
  <c r="I216" i="1"/>
  <c r="C217" i="1"/>
  <c r="D217" i="1"/>
  <c r="E217" i="1"/>
  <c r="F217" i="1"/>
  <c r="G217" i="1"/>
  <c r="H217" i="1"/>
  <c r="I217" i="1"/>
  <c r="C218" i="1"/>
  <c r="D218" i="1"/>
  <c r="E218" i="1"/>
  <c r="F218" i="1"/>
  <c r="G218" i="1"/>
  <c r="H218" i="1"/>
  <c r="I218" i="1"/>
  <c r="C219" i="1"/>
  <c r="D219" i="1"/>
  <c r="E219" i="1"/>
  <c r="F219" i="1"/>
  <c r="G219" i="1"/>
  <c r="H219" i="1"/>
  <c r="I219" i="1"/>
  <c r="C220" i="1"/>
  <c r="D220" i="1"/>
  <c r="E220" i="1"/>
  <c r="F220" i="1"/>
  <c r="G220" i="1"/>
  <c r="H220" i="1"/>
  <c r="I220" i="1"/>
  <c r="C221" i="1"/>
  <c r="D221" i="1"/>
  <c r="E221" i="1"/>
  <c r="F221" i="1"/>
  <c r="G221" i="1"/>
  <c r="H221" i="1"/>
  <c r="I221" i="1"/>
  <c r="C222" i="1"/>
  <c r="D222" i="1"/>
  <c r="E222" i="1"/>
  <c r="F222" i="1"/>
  <c r="G222" i="1"/>
  <c r="H222" i="1"/>
  <c r="I222" i="1"/>
  <c r="C223" i="1"/>
  <c r="D223" i="1"/>
  <c r="E223" i="1"/>
  <c r="F223" i="1"/>
  <c r="G223" i="1"/>
  <c r="H223" i="1"/>
  <c r="I223" i="1"/>
  <c r="C224" i="1"/>
  <c r="D224" i="1"/>
  <c r="E224" i="1"/>
  <c r="F224" i="1"/>
  <c r="G224" i="1"/>
  <c r="H224" i="1"/>
  <c r="I224" i="1"/>
  <c r="C4259" i="1"/>
  <c r="D4259" i="1"/>
  <c r="E4259" i="1"/>
  <c r="F4259" i="1"/>
  <c r="G4259" i="1"/>
  <c r="H4259" i="1"/>
  <c r="I4259" i="1"/>
  <c r="C225" i="1"/>
  <c r="D225" i="1"/>
  <c r="E225" i="1"/>
  <c r="F225" i="1"/>
  <c r="G225" i="1"/>
  <c r="H225" i="1"/>
  <c r="I225" i="1"/>
  <c r="C226" i="1"/>
  <c r="D226" i="1"/>
  <c r="E226" i="1"/>
  <c r="F226" i="1"/>
  <c r="G226" i="1"/>
  <c r="H226" i="1"/>
  <c r="I226" i="1"/>
  <c r="C227" i="1"/>
  <c r="D227" i="1"/>
  <c r="E227" i="1"/>
  <c r="F227" i="1"/>
  <c r="G227" i="1"/>
  <c r="H227" i="1"/>
  <c r="I227" i="1"/>
  <c r="C228" i="1"/>
  <c r="D228" i="1"/>
  <c r="E228" i="1"/>
  <c r="F228" i="1"/>
  <c r="G228" i="1"/>
  <c r="H228" i="1"/>
  <c r="I228" i="1"/>
  <c r="C239" i="1"/>
  <c r="D239" i="1"/>
  <c r="E239" i="1"/>
  <c r="F239" i="1"/>
  <c r="G239" i="1"/>
  <c r="H239" i="1"/>
  <c r="I239" i="1"/>
  <c r="C240" i="1"/>
  <c r="D240" i="1"/>
  <c r="E240" i="1"/>
  <c r="F240" i="1"/>
  <c r="G240" i="1"/>
  <c r="H240" i="1"/>
  <c r="I240" i="1"/>
  <c r="C241" i="1"/>
  <c r="D241" i="1"/>
  <c r="E241" i="1"/>
  <c r="F241" i="1"/>
  <c r="G241" i="1"/>
  <c r="H241" i="1"/>
  <c r="I241" i="1"/>
  <c r="C242" i="1"/>
  <c r="D242" i="1"/>
  <c r="E242" i="1"/>
  <c r="F242" i="1"/>
  <c r="G242" i="1"/>
  <c r="H242" i="1"/>
  <c r="I242" i="1"/>
  <c r="C243" i="1"/>
  <c r="D243" i="1"/>
  <c r="E243" i="1"/>
  <c r="F243" i="1"/>
  <c r="G243" i="1"/>
  <c r="H243" i="1"/>
  <c r="I243" i="1"/>
  <c r="C244" i="1"/>
  <c r="D244" i="1"/>
  <c r="E244" i="1"/>
  <c r="F244" i="1"/>
  <c r="G244" i="1"/>
  <c r="H244" i="1"/>
  <c r="I244" i="1"/>
  <c r="C245" i="1"/>
  <c r="D245" i="1"/>
  <c r="E245" i="1"/>
  <c r="F245" i="1"/>
  <c r="G245" i="1"/>
  <c r="H245" i="1"/>
  <c r="I245" i="1"/>
  <c r="C246" i="1"/>
  <c r="D246" i="1"/>
  <c r="E246" i="1"/>
  <c r="F246" i="1"/>
  <c r="G246" i="1"/>
  <c r="H246" i="1"/>
  <c r="I246" i="1"/>
  <c r="C247" i="1"/>
  <c r="D247" i="1"/>
  <c r="E247" i="1"/>
  <c r="F247" i="1"/>
  <c r="G247" i="1"/>
  <c r="H247" i="1"/>
  <c r="I247" i="1"/>
  <c r="C248" i="1"/>
  <c r="D248" i="1"/>
  <c r="E248" i="1"/>
  <c r="F248" i="1"/>
  <c r="G248" i="1"/>
  <c r="H248" i="1"/>
  <c r="I248" i="1"/>
  <c r="C249" i="1"/>
  <c r="D249" i="1"/>
  <c r="E249" i="1"/>
  <c r="F249" i="1"/>
  <c r="G249" i="1"/>
  <c r="H249" i="1"/>
  <c r="I249" i="1"/>
  <c r="C250" i="1"/>
  <c r="D250" i="1"/>
  <c r="E250" i="1"/>
  <c r="F250" i="1"/>
  <c r="G250" i="1"/>
  <c r="H250" i="1"/>
  <c r="I250" i="1"/>
  <c r="C251" i="1"/>
  <c r="D251" i="1"/>
  <c r="E251" i="1"/>
  <c r="F251" i="1"/>
  <c r="G251" i="1"/>
  <c r="H251" i="1"/>
  <c r="I251" i="1"/>
  <c r="C252" i="1"/>
  <c r="D252" i="1"/>
  <c r="E252" i="1"/>
  <c r="F252" i="1"/>
  <c r="G252" i="1"/>
  <c r="H252" i="1"/>
  <c r="I252" i="1"/>
  <c r="C253" i="1"/>
  <c r="D253" i="1"/>
  <c r="E253" i="1"/>
  <c r="F253" i="1"/>
  <c r="G253" i="1"/>
  <c r="H253" i="1"/>
  <c r="I253" i="1"/>
  <c r="C254" i="1"/>
  <c r="D254" i="1"/>
  <c r="E254" i="1"/>
  <c r="F254" i="1"/>
  <c r="G254" i="1"/>
  <c r="H254" i="1"/>
  <c r="I254" i="1"/>
  <c r="C255" i="1"/>
  <c r="D255" i="1"/>
  <c r="E255" i="1"/>
  <c r="F255" i="1"/>
  <c r="G255" i="1"/>
  <c r="H255" i="1"/>
  <c r="I255" i="1"/>
  <c r="C3355" i="1"/>
  <c r="D3355" i="1"/>
  <c r="E3355" i="1"/>
  <c r="F3355" i="1"/>
  <c r="G3355" i="1"/>
  <c r="H3355" i="1"/>
  <c r="I3355" i="1"/>
  <c r="C3656" i="1"/>
  <c r="D3656" i="1"/>
  <c r="E3656" i="1"/>
  <c r="F3656" i="1"/>
  <c r="G3656" i="1"/>
  <c r="H3656" i="1"/>
  <c r="I3656" i="1"/>
  <c r="C256" i="1"/>
  <c r="D256" i="1"/>
  <c r="E256" i="1"/>
  <c r="F256" i="1"/>
  <c r="G256" i="1"/>
  <c r="H256" i="1"/>
  <c r="I256" i="1"/>
  <c r="C257" i="1"/>
  <c r="D257" i="1"/>
  <c r="E257" i="1"/>
  <c r="F257" i="1"/>
  <c r="G257" i="1"/>
  <c r="H257" i="1"/>
  <c r="I257" i="1"/>
  <c r="C258" i="1"/>
  <c r="D258" i="1"/>
  <c r="E258" i="1"/>
  <c r="F258" i="1"/>
  <c r="G258" i="1"/>
  <c r="H258" i="1"/>
  <c r="I258" i="1"/>
  <c r="C259" i="1"/>
  <c r="D259" i="1"/>
  <c r="E259" i="1"/>
  <c r="F259" i="1"/>
  <c r="G259" i="1"/>
  <c r="H259" i="1"/>
  <c r="I259" i="1"/>
  <c r="C274" i="1"/>
  <c r="D274" i="1"/>
  <c r="E274" i="1"/>
  <c r="F274" i="1"/>
  <c r="G274" i="1"/>
  <c r="H274" i="1"/>
  <c r="I274" i="1"/>
  <c r="C275" i="1"/>
  <c r="D275" i="1"/>
  <c r="E275" i="1"/>
  <c r="F275" i="1"/>
  <c r="G275" i="1"/>
  <c r="H275" i="1"/>
  <c r="I275" i="1"/>
  <c r="C276" i="1"/>
  <c r="D276" i="1"/>
  <c r="E276" i="1"/>
  <c r="F276" i="1"/>
  <c r="G276" i="1"/>
  <c r="H276" i="1"/>
  <c r="I276" i="1"/>
  <c r="C277" i="1"/>
  <c r="D277" i="1"/>
  <c r="E277" i="1"/>
  <c r="F277" i="1"/>
  <c r="G277" i="1"/>
  <c r="H277" i="1"/>
  <c r="I277" i="1"/>
  <c r="C278" i="1"/>
  <c r="D278" i="1"/>
  <c r="E278" i="1"/>
  <c r="F278" i="1"/>
  <c r="G278" i="1"/>
  <c r="H278" i="1"/>
  <c r="I278" i="1"/>
  <c r="C279" i="1"/>
  <c r="D279" i="1"/>
  <c r="E279" i="1"/>
  <c r="F279" i="1"/>
  <c r="G279" i="1"/>
  <c r="H279" i="1"/>
  <c r="I279" i="1"/>
  <c r="C280" i="1"/>
  <c r="D280" i="1"/>
  <c r="E280" i="1"/>
  <c r="F280" i="1"/>
  <c r="G280" i="1"/>
  <c r="H280" i="1"/>
  <c r="I280" i="1"/>
  <c r="C281" i="1"/>
  <c r="D281" i="1"/>
  <c r="E281" i="1"/>
  <c r="F281" i="1"/>
  <c r="G281" i="1"/>
  <c r="H281" i="1"/>
  <c r="I281" i="1"/>
  <c r="C282" i="1"/>
  <c r="D282" i="1"/>
  <c r="E282" i="1"/>
  <c r="F282" i="1"/>
  <c r="G282" i="1"/>
  <c r="H282" i="1"/>
  <c r="I282" i="1"/>
  <c r="C283" i="1"/>
  <c r="D283" i="1"/>
  <c r="E283" i="1"/>
  <c r="F283" i="1"/>
  <c r="G283" i="1"/>
  <c r="H283" i="1"/>
  <c r="I283" i="1"/>
  <c r="C284" i="1"/>
  <c r="D284" i="1"/>
  <c r="E284" i="1"/>
  <c r="F284" i="1"/>
  <c r="G284" i="1"/>
  <c r="H284" i="1"/>
  <c r="I284" i="1"/>
  <c r="C285" i="1"/>
  <c r="D285" i="1"/>
  <c r="E285" i="1"/>
  <c r="F285" i="1"/>
  <c r="G285" i="1"/>
  <c r="H285" i="1"/>
  <c r="I285" i="1"/>
  <c r="C286" i="1"/>
  <c r="D286" i="1"/>
  <c r="E286" i="1"/>
  <c r="F286" i="1"/>
  <c r="G286" i="1"/>
  <c r="H286" i="1"/>
  <c r="I286" i="1"/>
  <c r="C287" i="1"/>
  <c r="D287" i="1"/>
  <c r="E287" i="1"/>
  <c r="F287" i="1"/>
  <c r="G287" i="1"/>
  <c r="H287" i="1"/>
  <c r="I287" i="1"/>
  <c r="C288" i="1"/>
  <c r="D288" i="1"/>
  <c r="E288" i="1"/>
  <c r="F288" i="1"/>
  <c r="G288" i="1"/>
  <c r="H288" i="1"/>
  <c r="I288" i="1"/>
  <c r="C289" i="1"/>
  <c r="D289" i="1"/>
  <c r="E289" i="1"/>
  <c r="F289" i="1"/>
  <c r="G289" i="1"/>
  <c r="H289" i="1"/>
  <c r="I289" i="1"/>
  <c r="C290" i="1"/>
  <c r="D290" i="1"/>
  <c r="E290" i="1"/>
  <c r="F290" i="1"/>
  <c r="G290" i="1"/>
  <c r="H290" i="1"/>
  <c r="I290" i="1"/>
  <c r="C291" i="1"/>
  <c r="D291" i="1"/>
  <c r="E291" i="1"/>
  <c r="F291" i="1"/>
  <c r="G291" i="1"/>
  <c r="H291" i="1"/>
  <c r="I291" i="1"/>
  <c r="C292" i="1"/>
  <c r="D292" i="1"/>
  <c r="E292" i="1"/>
  <c r="F292" i="1"/>
  <c r="G292" i="1"/>
  <c r="H292" i="1"/>
  <c r="I292" i="1"/>
  <c r="C293" i="1"/>
  <c r="D293" i="1"/>
  <c r="E293" i="1"/>
  <c r="F293" i="1"/>
  <c r="G293" i="1"/>
  <c r="H293" i="1"/>
  <c r="I293" i="1"/>
  <c r="C294" i="1"/>
  <c r="D294" i="1"/>
  <c r="E294" i="1"/>
  <c r="F294" i="1"/>
  <c r="G294" i="1"/>
  <c r="H294" i="1"/>
  <c r="I294" i="1"/>
  <c r="C295" i="1"/>
  <c r="D295" i="1"/>
  <c r="E295" i="1"/>
  <c r="F295" i="1"/>
  <c r="G295" i="1"/>
  <c r="H295" i="1"/>
  <c r="I295" i="1"/>
  <c r="C296" i="1"/>
  <c r="D296" i="1"/>
  <c r="E296" i="1"/>
  <c r="F296" i="1"/>
  <c r="G296" i="1"/>
  <c r="H296" i="1"/>
  <c r="I296" i="1"/>
  <c r="C297" i="1"/>
  <c r="D297" i="1"/>
  <c r="E297" i="1"/>
  <c r="F297" i="1"/>
  <c r="G297" i="1"/>
  <c r="H297" i="1"/>
  <c r="I297" i="1"/>
  <c r="C298" i="1"/>
  <c r="D298" i="1"/>
  <c r="E298" i="1"/>
  <c r="F298" i="1"/>
  <c r="G298" i="1"/>
  <c r="H298" i="1"/>
  <c r="I298" i="1"/>
  <c r="C299" i="1"/>
  <c r="D299" i="1"/>
  <c r="E299" i="1"/>
  <c r="F299" i="1"/>
  <c r="G299" i="1"/>
  <c r="H299" i="1"/>
  <c r="I299" i="1"/>
  <c r="C300" i="1"/>
  <c r="D300" i="1"/>
  <c r="E300" i="1"/>
  <c r="F300" i="1"/>
  <c r="G300" i="1"/>
  <c r="H300" i="1"/>
  <c r="I300" i="1"/>
  <c r="C320" i="1"/>
  <c r="D320" i="1"/>
  <c r="E320" i="1"/>
  <c r="F320" i="1"/>
  <c r="G320" i="1"/>
  <c r="H320" i="1"/>
  <c r="I320" i="1"/>
  <c r="C321" i="1"/>
  <c r="D321" i="1"/>
  <c r="E321" i="1"/>
  <c r="F321" i="1"/>
  <c r="G321" i="1"/>
  <c r="H321" i="1"/>
  <c r="I321" i="1"/>
  <c r="C1230" i="1"/>
  <c r="D1230" i="1"/>
  <c r="E1230" i="1"/>
  <c r="F1230" i="1"/>
  <c r="G1230" i="1"/>
  <c r="H1230" i="1"/>
  <c r="I1230" i="1"/>
  <c r="C322" i="1"/>
  <c r="D322" i="1"/>
  <c r="E322" i="1"/>
  <c r="F322" i="1"/>
  <c r="G322" i="1"/>
  <c r="H322" i="1"/>
  <c r="I322" i="1"/>
  <c r="C323" i="1"/>
  <c r="D323" i="1"/>
  <c r="E323" i="1"/>
  <c r="F323" i="1"/>
  <c r="G323" i="1"/>
  <c r="H323" i="1"/>
  <c r="I323" i="1"/>
  <c r="C324" i="1"/>
  <c r="D324" i="1"/>
  <c r="E324" i="1"/>
  <c r="F324" i="1"/>
  <c r="G324" i="1"/>
  <c r="H324" i="1"/>
  <c r="I324" i="1"/>
  <c r="C325" i="1"/>
  <c r="D325" i="1"/>
  <c r="E325" i="1"/>
  <c r="F325" i="1"/>
  <c r="G325" i="1"/>
  <c r="H325" i="1"/>
  <c r="I325" i="1"/>
  <c r="C326" i="1"/>
  <c r="D326" i="1"/>
  <c r="E326" i="1"/>
  <c r="F326" i="1"/>
  <c r="G326" i="1"/>
  <c r="H326" i="1"/>
  <c r="I326" i="1"/>
  <c r="C327" i="1"/>
  <c r="D327" i="1"/>
  <c r="E327" i="1"/>
  <c r="F327" i="1"/>
  <c r="G327" i="1"/>
  <c r="H327" i="1"/>
  <c r="I327" i="1"/>
  <c r="C328" i="1"/>
  <c r="D328" i="1"/>
  <c r="E328" i="1"/>
  <c r="F328" i="1"/>
  <c r="G328" i="1"/>
  <c r="H328" i="1"/>
  <c r="I328" i="1"/>
  <c r="C329" i="1"/>
  <c r="D329" i="1"/>
  <c r="E329" i="1"/>
  <c r="F329" i="1"/>
  <c r="G329" i="1"/>
  <c r="H329" i="1"/>
  <c r="I329" i="1"/>
  <c r="C330" i="1"/>
  <c r="D330" i="1"/>
  <c r="E330" i="1"/>
  <c r="F330" i="1"/>
  <c r="G330" i="1"/>
  <c r="H330" i="1"/>
  <c r="I330" i="1"/>
  <c r="C331" i="1"/>
  <c r="D331" i="1"/>
  <c r="E331" i="1"/>
  <c r="F331" i="1"/>
  <c r="G331" i="1"/>
  <c r="H331" i="1"/>
  <c r="I331" i="1"/>
  <c r="C332" i="1"/>
  <c r="D332" i="1"/>
  <c r="E332" i="1"/>
  <c r="F332" i="1"/>
  <c r="G332" i="1"/>
  <c r="H332" i="1"/>
  <c r="I332" i="1"/>
  <c r="C333" i="1"/>
  <c r="D333" i="1"/>
  <c r="E333" i="1"/>
  <c r="F333" i="1"/>
  <c r="G333" i="1"/>
  <c r="H333" i="1"/>
  <c r="I333" i="1"/>
  <c r="C334" i="1"/>
  <c r="D334" i="1"/>
  <c r="E334" i="1"/>
  <c r="F334" i="1"/>
  <c r="G334" i="1"/>
  <c r="H334" i="1"/>
  <c r="I334" i="1"/>
  <c r="C335" i="1"/>
  <c r="D335" i="1"/>
  <c r="E335" i="1"/>
  <c r="F335" i="1"/>
  <c r="G335" i="1"/>
  <c r="H335" i="1"/>
  <c r="I335" i="1"/>
  <c r="C336" i="1"/>
  <c r="D336" i="1"/>
  <c r="E336" i="1"/>
  <c r="F336" i="1"/>
  <c r="G336" i="1"/>
  <c r="H336" i="1"/>
  <c r="I336" i="1"/>
  <c r="C337" i="1"/>
  <c r="D337" i="1"/>
  <c r="E337" i="1"/>
  <c r="F337" i="1"/>
  <c r="G337" i="1"/>
  <c r="H337" i="1"/>
  <c r="I337" i="1"/>
  <c r="C338" i="1"/>
  <c r="D338" i="1"/>
  <c r="E338" i="1"/>
  <c r="F338" i="1"/>
  <c r="G338" i="1"/>
  <c r="H338" i="1"/>
  <c r="I338" i="1"/>
  <c r="C339" i="1"/>
  <c r="D339" i="1"/>
  <c r="E339" i="1"/>
  <c r="F339" i="1"/>
  <c r="G339" i="1"/>
  <c r="H339" i="1"/>
  <c r="I339" i="1"/>
  <c r="C340" i="1"/>
  <c r="D340" i="1"/>
  <c r="E340" i="1"/>
  <c r="F340" i="1"/>
  <c r="G340" i="1"/>
  <c r="H340" i="1"/>
  <c r="I340" i="1"/>
  <c r="C341" i="1"/>
  <c r="D341" i="1"/>
  <c r="E341" i="1"/>
  <c r="F341" i="1"/>
  <c r="G341" i="1"/>
  <c r="H341" i="1"/>
  <c r="I341" i="1"/>
  <c r="C342" i="1"/>
  <c r="D342" i="1"/>
  <c r="E342" i="1"/>
  <c r="F342" i="1"/>
  <c r="G342" i="1"/>
  <c r="H342" i="1"/>
  <c r="I342" i="1"/>
  <c r="C343" i="1"/>
  <c r="D343" i="1"/>
  <c r="E343" i="1"/>
  <c r="F343" i="1"/>
  <c r="G343" i="1"/>
  <c r="H343" i="1"/>
  <c r="I343" i="1"/>
  <c r="C344" i="1"/>
  <c r="D344" i="1"/>
  <c r="E344" i="1"/>
  <c r="F344" i="1"/>
  <c r="G344" i="1"/>
  <c r="H344" i="1"/>
  <c r="I344" i="1"/>
  <c r="C345" i="1"/>
  <c r="D345" i="1"/>
  <c r="E345" i="1"/>
  <c r="F345" i="1"/>
  <c r="G345" i="1"/>
  <c r="H345" i="1"/>
  <c r="I345" i="1"/>
  <c r="C346" i="1"/>
  <c r="D346" i="1"/>
  <c r="E346" i="1"/>
  <c r="F346" i="1"/>
  <c r="G346" i="1"/>
  <c r="H346" i="1"/>
  <c r="I346" i="1"/>
  <c r="C347" i="1"/>
  <c r="D347" i="1"/>
  <c r="E347" i="1"/>
  <c r="F347" i="1"/>
  <c r="G347" i="1"/>
  <c r="H347" i="1"/>
  <c r="I347" i="1"/>
  <c r="C348" i="1"/>
  <c r="D348" i="1"/>
  <c r="E348" i="1"/>
  <c r="F348" i="1"/>
  <c r="G348" i="1"/>
  <c r="H348" i="1"/>
  <c r="I348" i="1"/>
  <c r="C349" i="1"/>
  <c r="D349" i="1"/>
  <c r="E349" i="1"/>
  <c r="F349" i="1"/>
  <c r="G349" i="1"/>
  <c r="H349" i="1"/>
  <c r="I349" i="1"/>
  <c r="C350" i="1"/>
  <c r="D350" i="1"/>
  <c r="E350" i="1"/>
  <c r="F350" i="1"/>
  <c r="G350" i="1"/>
  <c r="H350" i="1"/>
  <c r="I350" i="1"/>
  <c r="C363" i="1"/>
  <c r="D363" i="1"/>
  <c r="E363" i="1"/>
  <c r="F363" i="1"/>
  <c r="G363" i="1"/>
  <c r="H363" i="1"/>
  <c r="I363" i="1"/>
  <c r="C958" i="1"/>
  <c r="D958" i="1"/>
  <c r="E958" i="1"/>
  <c r="F958" i="1"/>
  <c r="G958" i="1"/>
  <c r="H958" i="1"/>
  <c r="I958" i="1"/>
  <c r="C364" i="1"/>
  <c r="D364" i="1"/>
  <c r="E364" i="1"/>
  <c r="F364" i="1"/>
  <c r="G364" i="1"/>
  <c r="H364" i="1"/>
  <c r="I364" i="1"/>
  <c r="C365" i="1"/>
  <c r="D365" i="1"/>
  <c r="E365" i="1"/>
  <c r="F365" i="1"/>
  <c r="G365" i="1"/>
  <c r="H365" i="1"/>
  <c r="I365" i="1"/>
  <c r="C366" i="1"/>
  <c r="D366" i="1"/>
  <c r="E366" i="1"/>
  <c r="F366" i="1"/>
  <c r="G366" i="1"/>
  <c r="H366" i="1"/>
  <c r="I366" i="1"/>
  <c r="C367" i="1"/>
  <c r="D367" i="1"/>
  <c r="E367" i="1"/>
  <c r="F367" i="1"/>
  <c r="G367" i="1"/>
  <c r="H367" i="1"/>
  <c r="I367" i="1"/>
  <c r="C368" i="1"/>
  <c r="D368" i="1"/>
  <c r="E368" i="1"/>
  <c r="F368" i="1"/>
  <c r="G368" i="1"/>
  <c r="H368" i="1"/>
  <c r="I368" i="1"/>
  <c r="C369" i="1"/>
  <c r="D369" i="1"/>
  <c r="E369" i="1"/>
  <c r="F369" i="1"/>
  <c r="G369" i="1"/>
  <c r="H369" i="1"/>
  <c r="I369" i="1"/>
  <c r="C370" i="1"/>
  <c r="D370" i="1"/>
  <c r="E370" i="1"/>
  <c r="F370" i="1"/>
  <c r="G370" i="1"/>
  <c r="H370" i="1"/>
  <c r="I370" i="1"/>
  <c r="C371" i="1"/>
  <c r="D371" i="1"/>
  <c r="E371" i="1"/>
  <c r="F371" i="1"/>
  <c r="G371" i="1"/>
  <c r="H371" i="1"/>
  <c r="I371" i="1"/>
  <c r="C372" i="1"/>
  <c r="D372" i="1"/>
  <c r="E372" i="1"/>
  <c r="F372" i="1"/>
  <c r="G372" i="1"/>
  <c r="H372" i="1"/>
  <c r="I372" i="1"/>
  <c r="C373" i="1"/>
  <c r="D373" i="1"/>
  <c r="E373" i="1"/>
  <c r="F373" i="1"/>
  <c r="G373" i="1"/>
  <c r="H373" i="1"/>
  <c r="I373" i="1"/>
  <c r="C374" i="1"/>
  <c r="D374" i="1"/>
  <c r="E374" i="1"/>
  <c r="F374" i="1"/>
  <c r="G374" i="1"/>
  <c r="H374" i="1"/>
  <c r="I374" i="1"/>
  <c r="C405" i="1"/>
  <c r="D405" i="1"/>
  <c r="E405" i="1"/>
  <c r="F405" i="1"/>
  <c r="G405" i="1"/>
  <c r="H405" i="1"/>
  <c r="I405" i="1"/>
  <c r="C406" i="1"/>
  <c r="D406" i="1"/>
  <c r="E406" i="1"/>
  <c r="F406" i="1"/>
  <c r="G406" i="1"/>
  <c r="H406" i="1"/>
  <c r="I406" i="1"/>
  <c r="C375" i="1"/>
  <c r="D375" i="1"/>
  <c r="E375" i="1"/>
  <c r="F375" i="1"/>
  <c r="G375" i="1"/>
  <c r="H375" i="1"/>
  <c r="I375" i="1"/>
  <c r="C376" i="1"/>
  <c r="D376" i="1"/>
  <c r="E376" i="1"/>
  <c r="F376" i="1"/>
  <c r="G376" i="1"/>
  <c r="H376" i="1"/>
  <c r="I376" i="1"/>
  <c r="C377" i="1"/>
  <c r="D377" i="1"/>
  <c r="E377" i="1"/>
  <c r="F377" i="1"/>
  <c r="G377" i="1"/>
  <c r="H377" i="1"/>
  <c r="I377" i="1"/>
  <c r="C378" i="1"/>
  <c r="D378" i="1"/>
  <c r="E378" i="1"/>
  <c r="F378" i="1"/>
  <c r="G378" i="1"/>
  <c r="H378" i="1"/>
  <c r="I378" i="1"/>
  <c r="C379" i="1"/>
  <c r="D379" i="1"/>
  <c r="E379" i="1"/>
  <c r="F379" i="1"/>
  <c r="G379" i="1"/>
  <c r="H379" i="1"/>
  <c r="I379" i="1"/>
  <c r="C380" i="1"/>
  <c r="D380" i="1"/>
  <c r="E380" i="1"/>
  <c r="F380" i="1"/>
  <c r="G380" i="1"/>
  <c r="H380" i="1"/>
  <c r="I380" i="1"/>
  <c r="C381" i="1"/>
  <c r="D381" i="1"/>
  <c r="E381" i="1"/>
  <c r="F381" i="1"/>
  <c r="G381" i="1"/>
  <c r="H381" i="1"/>
  <c r="I381" i="1"/>
  <c r="C382" i="1"/>
  <c r="D382" i="1"/>
  <c r="E382" i="1"/>
  <c r="F382" i="1"/>
  <c r="G382" i="1"/>
  <c r="H382" i="1"/>
  <c r="I382" i="1"/>
  <c r="C383" i="1"/>
  <c r="D383" i="1"/>
  <c r="E383" i="1"/>
  <c r="F383" i="1"/>
  <c r="G383" i="1"/>
  <c r="H383" i="1"/>
  <c r="I383" i="1"/>
  <c r="C384" i="1"/>
  <c r="D384" i="1"/>
  <c r="E384" i="1"/>
  <c r="F384" i="1"/>
  <c r="G384" i="1"/>
  <c r="H384" i="1"/>
  <c r="I384" i="1"/>
  <c r="C385" i="1"/>
  <c r="D385" i="1"/>
  <c r="E385" i="1"/>
  <c r="F385" i="1"/>
  <c r="G385" i="1"/>
  <c r="H385" i="1"/>
  <c r="I385" i="1"/>
  <c r="C386" i="1"/>
  <c r="D386" i="1"/>
  <c r="E386" i="1"/>
  <c r="F386" i="1"/>
  <c r="G386" i="1"/>
  <c r="H386" i="1"/>
  <c r="I386" i="1"/>
  <c r="C387" i="1"/>
  <c r="D387" i="1"/>
  <c r="E387" i="1"/>
  <c r="F387" i="1"/>
  <c r="G387" i="1"/>
  <c r="H387" i="1"/>
  <c r="I387" i="1"/>
  <c r="C388" i="1"/>
  <c r="D388" i="1"/>
  <c r="E388" i="1"/>
  <c r="F388" i="1"/>
  <c r="G388" i="1"/>
  <c r="H388" i="1"/>
  <c r="I388" i="1"/>
  <c r="C389" i="1"/>
  <c r="D389" i="1"/>
  <c r="E389" i="1"/>
  <c r="F389" i="1"/>
  <c r="G389" i="1"/>
  <c r="H389" i="1"/>
  <c r="I389" i="1"/>
  <c r="C410" i="1"/>
  <c r="D410" i="1"/>
  <c r="E410" i="1"/>
  <c r="F410" i="1"/>
  <c r="G410" i="1"/>
  <c r="H410" i="1"/>
  <c r="I410" i="1"/>
  <c r="C411" i="1"/>
  <c r="D411" i="1"/>
  <c r="E411" i="1"/>
  <c r="F411" i="1"/>
  <c r="G411" i="1"/>
  <c r="H411" i="1"/>
  <c r="I411" i="1"/>
  <c r="C412" i="1"/>
  <c r="D412" i="1"/>
  <c r="E412" i="1"/>
  <c r="F412" i="1"/>
  <c r="G412" i="1"/>
  <c r="H412" i="1"/>
  <c r="I412" i="1"/>
  <c r="C413" i="1"/>
  <c r="D413" i="1"/>
  <c r="E413" i="1"/>
  <c r="F413" i="1"/>
  <c r="G413" i="1"/>
  <c r="H413" i="1"/>
  <c r="I413" i="1"/>
  <c r="C414" i="1"/>
  <c r="D414" i="1"/>
  <c r="E414" i="1"/>
  <c r="F414" i="1"/>
  <c r="G414" i="1"/>
  <c r="H414" i="1"/>
  <c r="I414" i="1"/>
  <c r="C415" i="1"/>
  <c r="D415" i="1"/>
  <c r="E415" i="1"/>
  <c r="F415" i="1"/>
  <c r="G415" i="1"/>
  <c r="H415" i="1"/>
  <c r="I415" i="1"/>
  <c r="C416" i="1"/>
  <c r="D416" i="1"/>
  <c r="E416" i="1"/>
  <c r="F416" i="1"/>
  <c r="G416" i="1"/>
  <c r="H416" i="1"/>
  <c r="I416" i="1"/>
  <c r="C417" i="1"/>
  <c r="D417" i="1"/>
  <c r="E417" i="1"/>
  <c r="F417" i="1"/>
  <c r="G417" i="1"/>
  <c r="H417" i="1"/>
  <c r="I417" i="1"/>
  <c r="C418" i="1"/>
  <c r="D418" i="1"/>
  <c r="E418" i="1"/>
  <c r="F418" i="1"/>
  <c r="G418" i="1"/>
  <c r="H418" i="1"/>
  <c r="I418" i="1"/>
  <c r="C419" i="1"/>
  <c r="D419" i="1"/>
  <c r="E419" i="1"/>
  <c r="F419" i="1"/>
  <c r="G419" i="1"/>
  <c r="H419" i="1"/>
  <c r="I419" i="1"/>
  <c r="C420" i="1"/>
  <c r="D420" i="1"/>
  <c r="E420" i="1"/>
  <c r="F420" i="1"/>
  <c r="G420" i="1"/>
  <c r="H420" i="1"/>
  <c r="I420" i="1"/>
  <c r="C421" i="1"/>
  <c r="D421" i="1"/>
  <c r="E421" i="1"/>
  <c r="F421" i="1"/>
  <c r="G421" i="1"/>
  <c r="H421" i="1"/>
  <c r="I421" i="1"/>
  <c r="C422" i="1"/>
  <c r="D422" i="1"/>
  <c r="E422" i="1"/>
  <c r="F422" i="1"/>
  <c r="G422" i="1"/>
  <c r="H422" i="1"/>
  <c r="I422" i="1"/>
  <c r="C423" i="1"/>
  <c r="D423" i="1"/>
  <c r="E423" i="1"/>
  <c r="F423" i="1"/>
  <c r="G423" i="1"/>
  <c r="H423" i="1"/>
  <c r="I423" i="1"/>
  <c r="C424" i="1"/>
  <c r="D424" i="1"/>
  <c r="F424" i="1"/>
  <c r="G424" i="1"/>
  <c r="H424" i="1"/>
  <c r="I424" i="1"/>
  <c r="C425" i="1"/>
  <c r="D425" i="1"/>
  <c r="E425" i="1"/>
  <c r="F425" i="1"/>
  <c r="G425" i="1"/>
  <c r="H425" i="1"/>
  <c r="I425" i="1"/>
  <c r="C426" i="1"/>
  <c r="D426" i="1"/>
  <c r="E426" i="1"/>
  <c r="F426" i="1"/>
  <c r="G426" i="1"/>
  <c r="H426" i="1"/>
  <c r="I426" i="1"/>
  <c r="C427" i="1"/>
  <c r="D427" i="1"/>
  <c r="E427" i="1"/>
  <c r="F427" i="1"/>
  <c r="G427" i="1"/>
  <c r="H427" i="1"/>
  <c r="I427" i="1"/>
  <c r="C428" i="1"/>
  <c r="D428" i="1"/>
  <c r="E428" i="1"/>
  <c r="F428" i="1"/>
  <c r="G428" i="1"/>
  <c r="H428" i="1"/>
  <c r="I428" i="1"/>
  <c r="C429" i="1"/>
  <c r="D429" i="1"/>
  <c r="E429" i="1"/>
  <c r="F429" i="1"/>
  <c r="G429" i="1"/>
  <c r="H429" i="1"/>
  <c r="I429" i="1"/>
  <c r="C430" i="1"/>
  <c r="D430" i="1"/>
  <c r="E430" i="1"/>
  <c r="F430" i="1"/>
  <c r="G430" i="1"/>
  <c r="H430" i="1"/>
  <c r="I430" i="1"/>
  <c r="C431" i="1"/>
  <c r="D431" i="1"/>
  <c r="E431" i="1"/>
  <c r="F431" i="1"/>
  <c r="G431" i="1"/>
  <c r="H431" i="1"/>
  <c r="I431" i="1"/>
  <c r="C432" i="1"/>
  <c r="D432" i="1"/>
  <c r="E432" i="1"/>
  <c r="F432" i="1"/>
  <c r="G432" i="1"/>
  <c r="H432" i="1"/>
  <c r="I432" i="1"/>
  <c r="C433" i="1"/>
  <c r="D433" i="1"/>
  <c r="E433" i="1"/>
  <c r="F433" i="1"/>
  <c r="G433" i="1"/>
  <c r="H433" i="1"/>
  <c r="I433" i="1"/>
  <c r="C434" i="1"/>
  <c r="D434" i="1"/>
  <c r="E434" i="1"/>
  <c r="F434" i="1"/>
  <c r="G434" i="1"/>
  <c r="H434" i="1"/>
  <c r="I434" i="1"/>
  <c r="C435" i="1"/>
  <c r="D435" i="1"/>
  <c r="E435" i="1"/>
  <c r="F435" i="1"/>
  <c r="G435" i="1"/>
  <c r="H435" i="1"/>
  <c r="I435" i="1"/>
  <c r="C436" i="1"/>
  <c r="D436" i="1"/>
  <c r="E436" i="1"/>
  <c r="F436" i="1"/>
  <c r="G436" i="1"/>
  <c r="H436" i="1"/>
  <c r="I436" i="1"/>
  <c r="C437" i="1"/>
  <c r="D437" i="1"/>
  <c r="E437" i="1"/>
  <c r="F437" i="1"/>
  <c r="G437" i="1"/>
  <c r="H437" i="1"/>
  <c r="I437" i="1"/>
  <c r="C438" i="1"/>
  <c r="D438" i="1"/>
  <c r="E438" i="1"/>
  <c r="F438" i="1"/>
  <c r="G438" i="1"/>
  <c r="H438" i="1"/>
  <c r="I438" i="1"/>
  <c r="C439" i="1"/>
  <c r="D439" i="1"/>
  <c r="E439" i="1"/>
  <c r="F439" i="1"/>
  <c r="G439" i="1"/>
  <c r="H439" i="1"/>
  <c r="I439" i="1"/>
  <c r="C440" i="1"/>
  <c r="D440" i="1"/>
  <c r="E440" i="1"/>
  <c r="F440" i="1"/>
  <c r="G440" i="1"/>
  <c r="H440" i="1"/>
  <c r="I440" i="1"/>
  <c r="C441" i="1"/>
  <c r="D441" i="1"/>
  <c r="E441" i="1"/>
  <c r="F441" i="1"/>
  <c r="G441" i="1"/>
  <c r="H441" i="1"/>
  <c r="I441" i="1"/>
  <c r="C442" i="1"/>
  <c r="D442" i="1"/>
  <c r="E442" i="1"/>
  <c r="F442" i="1"/>
  <c r="G442" i="1"/>
  <c r="H442" i="1"/>
  <c r="I442" i="1"/>
  <c r="C443" i="1"/>
  <c r="D443" i="1"/>
  <c r="E443" i="1"/>
  <c r="F443" i="1"/>
  <c r="G443" i="1"/>
  <c r="H443" i="1"/>
  <c r="I443" i="1"/>
  <c r="C444" i="1"/>
  <c r="D444" i="1"/>
  <c r="E444" i="1"/>
  <c r="F444" i="1"/>
  <c r="G444" i="1"/>
  <c r="H444" i="1"/>
  <c r="I444" i="1"/>
  <c r="C445" i="1"/>
  <c r="D445" i="1"/>
  <c r="E445" i="1"/>
  <c r="F445" i="1"/>
  <c r="G445" i="1"/>
  <c r="H445" i="1"/>
  <c r="I445" i="1"/>
  <c r="C463" i="1"/>
  <c r="D463" i="1"/>
  <c r="E463" i="1"/>
  <c r="F463" i="1"/>
  <c r="G463" i="1"/>
  <c r="H463" i="1"/>
  <c r="I463" i="1"/>
  <c r="C464" i="1"/>
  <c r="D464" i="1"/>
  <c r="E464" i="1"/>
  <c r="F464" i="1"/>
  <c r="G464" i="1"/>
  <c r="H464" i="1"/>
  <c r="I464" i="1"/>
  <c r="C465" i="1"/>
  <c r="D465" i="1"/>
  <c r="E465" i="1"/>
  <c r="F465" i="1"/>
  <c r="G465" i="1"/>
  <c r="H465" i="1"/>
  <c r="I465" i="1"/>
  <c r="C466" i="1"/>
  <c r="D466" i="1"/>
  <c r="E466" i="1"/>
  <c r="F466" i="1"/>
  <c r="G466" i="1"/>
  <c r="H466" i="1"/>
  <c r="I466" i="1"/>
  <c r="C467" i="1"/>
  <c r="D467" i="1"/>
  <c r="E467" i="1"/>
  <c r="F467" i="1"/>
  <c r="G467" i="1"/>
  <c r="H467" i="1"/>
  <c r="I467" i="1"/>
  <c r="C468" i="1"/>
  <c r="D468" i="1"/>
  <c r="E468" i="1"/>
  <c r="F468" i="1"/>
  <c r="G468" i="1"/>
  <c r="H468" i="1"/>
  <c r="I468" i="1"/>
  <c r="C469" i="1"/>
  <c r="D469" i="1"/>
  <c r="E469" i="1"/>
  <c r="F469" i="1"/>
  <c r="G469" i="1"/>
  <c r="H469" i="1"/>
  <c r="I469" i="1"/>
  <c r="C470" i="1"/>
  <c r="D470" i="1"/>
  <c r="E470" i="1"/>
  <c r="F470" i="1"/>
  <c r="G470" i="1"/>
  <c r="H470" i="1"/>
  <c r="I470" i="1"/>
  <c r="C471" i="1"/>
  <c r="D471" i="1"/>
  <c r="E471" i="1"/>
  <c r="F471" i="1"/>
  <c r="G471" i="1"/>
  <c r="H471" i="1"/>
  <c r="I471" i="1"/>
  <c r="C472" i="1"/>
  <c r="D472" i="1"/>
  <c r="E472" i="1"/>
  <c r="F472" i="1"/>
  <c r="G472" i="1"/>
  <c r="H472" i="1"/>
  <c r="I472" i="1"/>
  <c r="C473" i="1"/>
  <c r="D473" i="1"/>
  <c r="E473" i="1"/>
  <c r="F473" i="1"/>
  <c r="G473" i="1"/>
  <c r="H473" i="1"/>
  <c r="I473" i="1"/>
  <c r="C474" i="1"/>
  <c r="D474" i="1"/>
  <c r="E474" i="1"/>
  <c r="F474" i="1"/>
  <c r="G474" i="1"/>
  <c r="H474" i="1"/>
  <c r="I474" i="1"/>
  <c r="C475" i="1"/>
  <c r="D475" i="1"/>
  <c r="E475" i="1"/>
  <c r="F475" i="1"/>
  <c r="G475" i="1"/>
  <c r="H475" i="1"/>
  <c r="I475" i="1"/>
  <c r="C476" i="1"/>
  <c r="D476" i="1"/>
  <c r="E476" i="1"/>
  <c r="F476" i="1"/>
  <c r="G476" i="1"/>
  <c r="H476" i="1"/>
  <c r="I476" i="1"/>
  <c r="C477" i="1"/>
  <c r="D477" i="1"/>
  <c r="E477" i="1"/>
  <c r="F477" i="1"/>
  <c r="G477" i="1"/>
  <c r="H477" i="1"/>
  <c r="I477" i="1"/>
  <c r="C478" i="1"/>
  <c r="D478" i="1"/>
  <c r="E478" i="1"/>
  <c r="F478" i="1"/>
  <c r="G478" i="1"/>
  <c r="H478" i="1"/>
  <c r="I478" i="1"/>
  <c r="C479" i="1"/>
  <c r="D479" i="1"/>
  <c r="E479" i="1"/>
  <c r="F479" i="1"/>
  <c r="G479" i="1"/>
  <c r="H479" i="1"/>
  <c r="I479" i="1"/>
  <c r="C480" i="1"/>
  <c r="D480" i="1"/>
  <c r="E480" i="1"/>
  <c r="F480" i="1"/>
  <c r="G480" i="1"/>
  <c r="H480" i="1"/>
  <c r="I480" i="1"/>
  <c r="C481" i="1"/>
  <c r="D481" i="1"/>
  <c r="E481" i="1"/>
  <c r="F481" i="1"/>
  <c r="G481" i="1"/>
  <c r="H481" i="1"/>
  <c r="I481" i="1"/>
  <c r="C482" i="1"/>
  <c r="D482" i="1"/>
  <c r="E482" i="1"/>
  <c r="F482" i="1"/>
  <c r="G482" i="1"/>
  <c r="H482" i="1"/>
  <c r="I482" i="1"/>
  <c r="C483" i="1"/>
  <c r="D483" i="1"/>
  <c r="E483" i="1"/>
  <c r="F483" i="1"/>
  <c r="G483" i="1"/>
  <c r="H483" i="1"/>
  <c r="I483" i="1"/>
  <c r="C484" i="1"/>
  <c r="D484" i="1"/>
  <c r="E484" i="1"/>
  <c r="F484" i="1"/>
  <c r="G484" i="1"/>
  <c r="H484" i="1"/>
  <c r="I484" i="1"/>
  <c r="C485" i="1"/>
  <c r="D485" i="1"/>
  <c r="E485" i="1"/>
  <c r="F485" i="1"/>
  <c r="G485" i="1"/>
  <c r="H485" i="1"/>
  <c r="I485" i="1"/>
  <c r="C3857" i="1"/>
  <c r="D3857" i="1"/>
  <c r="E3857" i="1"/>
  <c r="F3857" i="1"/>
  <c r="G3857" i="1"/>
  <c r="H3857" i="1"/>
  <c r="I3857" i="1"/>
  <c r="C486" i="1"/>
  <c r="D486" i="1"/>
  <c r="E486" i="1"/>
  <c r="F486" i="1"/>
  <c r="G486" i="1"/>
  <c r="H486" i="1"/>
  <c r="I486" i="1"/>
  <c r="C487" i="1"/>
  <c r="D487" i="1"/>
  <c r="E487" i="1"/>
  <c r="F487" i="1"/>
  <c r="G487" i="1"/>
  <c r="H487" i="1"/>
  <c r="I487" i="1"/>
  <c r="C488" i="1"/>
  <c r="D488" i="1"/>
  <c r="E488" i="1"/>
  <c r="F488" i="1"/>
  <c r="G488" i="1"/>
  <c r="H488" i="1"/>
  <c r="I488" i="1"/>
  <c r="C489" i="1"/>
  <c r="D489" i="1"/>
  <c r="E489" i="1"/>
  <c r="F489" i="1"/>
  <c r="G489" i="1"/>
  <c r="H489" i="1"/>
  <c r="I489" i="1"/>
  <c r="C490" i="1"/>
  <c r="D490" i="1"/>
  <c r="E490" i="1"/>
  <c r="F490" i="1"/>
  <c r="G490" i="1"/>
  <c r="H490" i="1"/>
  <c r="I490" i="1"/>
  <c r="C491" i="1"/>
  <c r="D491" i="1"/>
  <c r="E491" i="1"/>
  <c r="F491" i="1"/>
  <c r="G491" i="1"/>
  <c r="H491" i="1"/>
  <c r="I491" i="1"/>
  <c r="C492" i="1"/>
  <c r="D492" i="1"/>
  <c r="E492" i="1"/>
  <c r="F492" i="1"/>
  <c r="G492" i="1"/>
  <c r="H492" i="1"/>
  <c r="I492" i="1"/>
  <c r="C493" i="1"/>
  <c r="D493" i="1"/>
  <c r="E493" i="1"/>
  <c r="F493" i="1"/>
  <c r="G493" i="1"/>
  <c r="H493" i="1"/>
  <c r="I493" i="1"/>
  <c r="C494" i="1"/>
  <c r="D494" i="1"/>
  <c r="E494" i="1"/>
  <c r="F494" i="1"/>
  <c r="G494" i="1"/>
  <c r="H494" i="1"/>
  <c r="I494" i="1"/>
  <c r="C495" i="1"/>
  <c r="D495" i="1"/>
  <c r="E495" i="1"/>
  <c r="F495" i="1"/>
  <c r="G495" i="1"/>
  <c r="H495" i="1"/>
  <c r="I495" i="1"/>
  <c r="C496" i="1"/>
  <c r="D496" i="1"/>
  <c r="E496" i="1"/>
  <c r="F496" i="1"/>
  <c r="G496" i="1"/>
  <c r="H496" i="1"/>
  <c r="I496" i="1"/>
  <c r="C497" i="1"/>
  <c r="D497" i="1"/>
  <c r="E497" i="1"/>
  <c r="F497" i="1"/>
  <c r="G497" i="1"/>
  <c r="H497" i="1"/>
  <c r="I497" i="1"/>
  <c r="C498" i="1"/>
  <c r="D498" i="1"/>
  <c r="E498" i="1"/>
  <c r="F498" i="1"/>
  <c r="G498" i="1"/>
  <c r="H498" i="1"/>
  <c r="I498" i="1"/>
  <c r="C499" i="1"/>
  <c r="D499" i="1"/>
  <c r="E499" i="1"/>
  <c r="F499" i="1"/>
  <c r="G499" i="1"/>
  <c r="H499" i="1"/>
  <c r="I499" i="1"/>
  <c r="C500" i="1"/>
  <c r="D500" i="1"/>
  <c r="E500" i="1"/>
  <c r="F500" i="1"/>
  <c r="G500" i="1"/>
  <c r="H500" i="1"/>
  <c r="I500" i="1"/>
  <c r="C501" i="1"/>
  <c r="D501" i="1"/>
  <c r="E501" i="1"/>
  <c r="F501" i="1"/>
  <c r="G501" i="1"/>
  <c r="H501" i="1"/>
  <c r="I501" i="1"/>
  <c r="C502" i="1"/>
  <c r="D502" i="1"/>
  <c r="E502" i="1"/>
  <c r="F502" i="1"/>
  <c r="G502" i="1"/>
  <c r="H502" i="1"/>
  <c r="I502" i="1"/>
  <c r="C503" i="1"/>
  <c r="D503" i="1"/>
  <c r="E503" i="1"/>
  <c r="F503" i="1"/>
  <c r="G503" i="1"/>
  <c r="H503" i="1"/>
  <c r="I503" i="1"/>
  <c r="C523" i="1"/>
  <c r="D523" i="1"/>
  <c r="E523" i="1"/>
  <c r="F523" i="1"/>
  <c r="G523" i="1"/>
  <c r="H523" i="1"/>
  <c r="I523" i="1"/>
  <c r="C524" i="1"/>
  <c r="D524" i="1"/>
  <c r="E524" i="1"/>
  <c r="F524" i="1"/>
  <c r="G524" i="1"/>
  <c r="H524" i="1"/>
  <c r="I524" i="1"/>
  <c r="C525" i="1"/>
  <c r="D525" i="1"/>
  <c r="E525" i="1"/>
  <c r="F525" i="1"/>
  <c r="G525" i="1"/>
  <c r="H525" i="1"/>
  <c r="I525" i="1"/>
  <c r="C526" i="1"/>
  <c r="D526" i="1"/>
  <c r="E526" i="1"/>
  <c r="F526" i="1"/>
  <c r="G526" i="1"/>
  <c r="H526" i="1"/>
  <c r="I526" i="1"/>
  <c r="C527" i="1"/>
  <c r="D527" i="1"/>
  <c r="E527" i="1"/>
  <c r="F527" i="1"/>
  <c r="G527" i="1"/>
  <c r="H527" i="1"/>
  <c r="I527" i="1"/>
  <c r="C528" i="1"/>
  <c r="D528" i="1"/>
  <c r="E528" i="1"/>
  <c r="F528" i="1"/>
  <c r="G528" i="1"/>
  <c r="H528" i="1"/>
  <c r="I528" i="1"/>
  <c r="C529" i="1"/>
  <c r="D529" i="1"/>
  <c r="E529" i="1"/>
  <c r="F529" i="1"/>
  <c r="G529" i="1"/>
  <c r="H529" i="1"/>
  <c r="I529" i="1"/>
  <c r="C530" i="1"/>
  <c r="D530" i="1"/>
  <c r="E530" i="1"/>
  <c r="F530" i="1"/>
  <c r="G530" i="1"/>
  <c r="H530" i="1"/>
  <c r="I530" i="1"/>
  <c r="C531" i="1"/>
  <c r="D531" i="1"/>
  <c r="E531" i="1"/>
  <c r="F531" i="1"/>
  <c r="G531" i="1"/>
  <c r="H531" i="1"/>
  <c r="I531" i="1"/>
  <c r="C532" i="1"/>
  <c r="D532" i="1"/>
  <c r="E532" i="1"/>
  <c r="F532" i="1"/>
  <c r="G532" i="1"/>
  <c r="H532" i="1"/>
  <c r="I532" i="1"/>
  <c r="C577" i="1"/>
  <c r="D577" i="1"/>
  <c r="E577" i="1"/>
  <c r="F577" i="1"/>
  <c r="G577" i="1"/>
  <c r="H577" i="1"/>
  <c r="I577" i="1"/>
  <c r="C533" i="1"/>
  <c r="D533" i="1"/>
  <c r="E533" i="1"/>
  <c r="F533" i="1"/>
  <c r="G533" i="1"/>
  <c r="H533" i="1"/>
  <c r="I533" i="1"/>
  <c r="C534" i="1"/>
  <c r="D534" i="1"/>
  <c r="E534" i="1"/>
  <c r="F534" i="1"/>
  <c r="G534" i="1"/>
  <c r="H534" i="1"/>
  <c r="I534" i="1"/>
  <c r="C535" i="1"/>
  <c r="D535" i="1"/>
  <c r="E535" i="1"/>
  <c r="F535" i="1"/>
  <c r="G535" i="1"/>
  <c r="H535" i="1"/>
  <c r="I535" i="1"/>
  <c r="C536" i="1"/>
  <c r="D536" i="1"/>
  <c r="E536" i="1"/>
  <c r="F536" i="1"/>
  <c r="G536" i="1"/>
  <c r="H536" i="1"/>
  <c r="I536" i="1"/>
  <c r="C537" i="1"/>
  <c r="D537" i="1"/>
  <c r="E537" i="1"/>
  <c r="F537" i="1"/>
  <c r="G537" i="1"/>
  <c r="H537" i="1"/>
  <c r="I537" i="1"/>
  <c r="C538" i="1"/>
  <c r="D538" i="1"/>
  <c r="E538" i="1"/>
  <c r="F538" i="1"/>
  <c r="G538" i="1"/>
  <c r="H538" i="1"/>
  <c r="I538" i="1"/>
  <c r="C539" i="1"/>
  <c r="D539" i="1"/>
  <c r="E539" i="1"/>
  <c r="F539" i="1"/>
  <c r="G539" i="1"/>
  <c r="H539" i="1"/>
  <c r="I539" i="1"/>
  <c r="C540" i="1"/>
  <c r="D540" i="1"/>
  <c r="E540" i="1"/>
  <c r="F540" i="1"/>
  <c r="G540" i="1"/>
  <c r="H540" i="1"/>
  <c r="I540" i="1"/>
  <c r="C541" i="1"/>
  <c r="D541" i="1"/>
  <c r="E541" i="1"/>
  <c r="F541" i="1"/>
  <c r="G541" i="1"/>
  <c r="H541" i="1"/>
  <c r="I541" i="1"/>
  <c r="C542" i="1"/>
  <c r="D542" i="1"/>
  <c r="E542" i="1"/>
  <c r="F542" i="1"/>
  <c r="G542" i="1"/>
  <c r="H542" i="1"/>
  <c r="I542" i="1"/>
  <c r="C543" i="1"/>
  <c r="D543" i="1"/>
  <c r="E543" i="1"/>
  <c r="F543" i="1"/>
  <c r="G543" i="1"/>
  <c r="H543" i="1"/>
  <c r="I543" i="1"/>
  <c r="C544" i="1"/>
  <c r="D544" i="1"/>
  <c r="E544" i="1"/>
  <c r="F544" i="1"/>
  <c r="G544" i="1"/>
  <c r="H544" i="1"/>
  <c r="I544" i="1"/>
  <c r="C545" i="1"/>
  <c r="D545" i="1"/>
  <c r="E545" i="1"/>
  <c r="F545" i="1"/>
  <c r="G545" i="1"/>
  <c r="H545" i="1"/>
  <c r="I545" i="1"/>
  <c r="C546" i="1"/>
  <c r="D546" i="1"/>
  <c r="E546" i="1"/>
  <c r="F546" i="1"/>
  <c r="G546" i="1"/>
  <c r="H546" i="1"/>
  <c r="I546" i="1"/>
  <c r="C547" i="1"/>
  <c r="D547" i="1"/>
  <c r="E547" i="1"/>
  <c r="F547" i="1"/>
  <c r="G547" i="1"/>
  <c r="H547" i="1"/>
  <c r="I547" i="1"/>
  <c r="C548" i="1"/>
  <c r="D548" i="1"/>
  <c r="E548" i="1"/>
  <c r="F548" i="1"/>
  <c r="G548" i="1"/>
  <c r="H548" i="1"/>
  <c r="I548" i="1"/>
  <c r="C549" i="1"/>
  <c r="D549" i="1"/>
  <c r="E549" i="1"/>
  <c r="F549" i="1"/>
  <c r="G549" i="1"/>
  <c r="H549" i="1"/>
  <c r="I549" i="1"/>
  <c r="C550" i="1"/>
  <c r="D550" i="1"/>
  <c r="E550" i="1"/>
  <c r="F550" i="1"/>
  <c r="G550" i="1"/>
  <c r="H550" i="1"/>
  <c r="I550" i="1"/>
  <c r="C551" i="1"/>
  <c r="D551" i="1"/>
  <c r="E551" i="1"/>
  <c r="F551" i="1"/>
  <c r="G551" i="1"/>
  <c r="H551" i="1"/>
  <c r="I551" i="1"/>
  <c r="C552" i="1"/>
  <c r="D552" i="1"/>
  <c r="E552" i="1"/>
  <c r="F552" i="1"/>
  <c r="G552" i="1"/>
  <c r="H552" i="1"/>
  <c r="I552" i="1"/>
  <c r="C578" i="1"/>
  <c r="D578" i="1"/>
  <c r="E578" i="1"/>
  <c r="F578" i="1"/>
  <c r="G578" i="1"/>
  <c r="H578" i="1"/>
  <c r="I578" i="1"/>
  <c r="C579" i="1"/>
  <c r="D579" i="1"/>
  <c r="E579" i="1"/>
  <c r="F579" i="1"/>
  <c r="G579" i="1"/>
  <c r="H579" i="1"/>
  <c r="I579" i="1"/>
  <c r="C553" i="1"/>
  <c r="D553" i="1"/>
  <c r="E553" i="1"/>
  <c r="F553" i="1"/>
  <c r="G553" i="1"/>
  <c r="H553" i="1"/>
  <c r="I553" i="1"/>
  <c r="C554" i="1"/>
  <c r="D554" i="1"/>
  <c r="E554" i="1"/>
  <c r="F554" i="1"/>
  <c r="G554" i="1"/>
  <c r="H554" i="1"/>
  <c r="I554" i="1"/>
  <c r="C555" i="1"/>
  <c r="D555" i="1"/>
  <c r="E555" i="1"/>
  <c r="F555" i="1"/>
  <c r="G555" i="1"/>
  <c r="H555" i="1"/>
  <c r="I555" i="1"/>
  <c r="C580" i="1"/>
  <c r="D580" i="1"/>
  <c r="E580" i="1"/>
  <c r="F580" i="1"/>
  <c r="G580" i="1"/>
  <c r="H580" i="1"/>
  <c r="I580" i="1"/>
  <c r="C581" i="1"/>
  <c r="D581" i="1"/>
  <c r="E581" i="1"/>
  <c r="F581" i="1"/>
  <c r="G581" i="1"/>
  <c r="H581" i="1"/>
  <c r="I581" i="1"/>
  <c r="C582" i="1"/>
  <c r="D582" i="1"/>
  <c r="E582" i="1"/>
  <c r="F582" i="1"/>
  <c r="G582" i="1"/>
  <c r="H582" i="1"/>
  <c r="I582" i="1"/>
  <c r="C583" i="1"/>
  <c r="D583" i="1"/>
  <c r="E583" i="1"/>
  <c r="F583" i="1"/>
  <c r="G583" i="1"/>
  <c r="H583" i="1"/>
  <c r="I583" i="1"/>
  <c r="C584" i="1"/>
  <c r="D584" i="1"/>
  <c r="E584" i="1"/>
  <c r="F584" i="1"/>
  <c r="G584" i="1"/>
  <c r="H584" i="1"/>
  <c r="I584" i="1"/>
  <c r="C585" i="1"/>
  <c r="D585" i="1"/>
  <c r="E585" i="1"/>
  <c r="F585" i="1"/>
  <c r="G585" i="1"/>
  <c r="H585" i="1"/>
  <c r="I585" i="1"/>
  <c r="C586" i="1"/>
  <c r="D586" i="1"/>
  <c r="E586" i="1"/>
  <c r="F586" i="1"/>
  <c r="G586" i="1"/>
  <c r="H586" i="1"/>
  <c r="I586" i="1"/>
  <c r="C587" i="1"/>
  <c r="D587" i="1"/>
  <c r="E587" i="1"/>
  <c r="F587" i="1"/>
  <c r="G587" i="1"/>
  <c r="H587" i="1"/>
  <c r="I587" i="1"/>
  <c r="C588" i="1"/>
  <c r="D588" i="1"/>
  <c r="E588" i="1"/>
  <c r="F588" i="1"/>
  <c r="G588" i="1"/>
  <c r="H588" i="1"/>
  <c r="I588" i="1"/>
  <c r="C589" i="1"/>
  <c r="D589" i="1"/>
  <c r="E589" i="1"/>
  <c r="F589" i="1"/>
  <c r="G589" i="1"/>
  <c r="H589" i="1"/>
  <c r="I589" i="1"/>
  <c r="C590" i="1"/>
  <c r="D590" i="1"/>
  <c r="E590" i="1"/>
  <c r="F590" i="1"/>
  <c r="G590" i="1"/>
  <c r="H590" i="1"/>
  <c r="I590" i="1"/>
  <c r="C591" i="1"/>
  <c r="D591" i="1"/>
  <c r="E591" i="1"/>
  <c r="F591" i="1"/>
  <c r="G591" i="1"/>
  <c r="H591" i="1"/>
  <c r="I591" i="1"/>
  <c r="C592" i="1"/>
  <c r="D592" i="1"/>
  <c r="E592" i="1"/>
  <c r="F592" i="1"/>
  <c r="G592" i="1"/>
  <c r="H592" i="1"/>
  <c r="I592" i="1"/>
  <c r="C593" i="1"/>
  <c r="D593" i="1"/>
  <c r="E593" i="1"/>
  <c r="F593" i="1"/>
  <c r="G593" i="1"/>
  <c r="H593" i="1"/>
  <c r="I593" i="1"/>
  <c r="C594" i="1"/>
  <c r="D594" i="1"/>
  <c r="E594" i="1"/>
  <c r="F594" i="1"/>
  <c r="G594" i="1"/>
  <c r="H594" i="1"/>
  <c r="I594" i="1"/>
  <c r="C595" i="1"/>
  <c r="D595" i="1"/>
  <c r="E595" i="1"/>
  <c r="F595" i="1"/>
  <c r="G595" i="1"/>
  <c r="H595" i="1"/>
  <c r="I595" i="1"/>
  <c r="C596" i="1"/>
  <c r="D596" i="1"/>
  <c r="E596" i="1"/>
  <c r="F596" i="1"/>
  <c r="G596" i="1"/>
  <c r="H596" i="1"/>
  <c r="I596" i="1"/>
  <c r="C597" i="1"/>
  <c r="D597" i="1"/>
  <c r="E597" i="1"/>
  <c r="F597" i="1"/>
  <c r="G597" i="1"/>
  <c r="H597" i="1"/>
  <c r="I597" i="1"/>
  <c r="C598" i="1"/>
  <c r="D598" i="1"/>
  <c r="E598" i="1"/>
  <c r="F598" i="1"/>
  <c r="G598" i="1"/>
  <c r="H598" i="1"/>
  <c r="I598" i="1"/>
  <c r="C599" i="1"/>
  <c r="D599" i="1"/>
  <c r="E599" i="1"/>
  <c r="F599" i="1"/>
  <c r="G599" i="1"/>
  <c r="H599" i="1"/>
  <c r="I599" i="1"/>
  <c r="C600" i="1"/>
  <c r="D600" i="1"/>
  <c r="E600" i="1"/>
  <c r="F600" i="1"/>
  <c r="G600" i="1"/>
  <c r="H600" i="1"/>
  <c r="I600" i="1"/>
  <c r="C601" i="1"/>
  <c r="D601" i="1"/>
  <c r="E601" i="1"/>
  <c r="F601" i="1"/>
  <c r="G601" i="1"/>
  <c r="H601" i="1"/>
  <c r="I601" i="1"/>
  <c r="C602" i="1"/>
  <c r="D602" i="1"/>
  <c r="E602" i="1"/>
  <c r="F602" i="1"/>
  <c r="G602" i="1"/>
  <c r="H602" i="1"/>
  <c r="I602" i="1"/>
  <c r="C603" i="1"/>
  <c r="D603" i="1"/>
  <c r="E603" i="1"/>
  <c r="F603" i="1"/>
  <c r="G603" i="1"/>
  <c r="H603" i="1"/>
  <c r="I603" i="1"/>
  <c r="C604" i="1"/>
  <c r="D604" i="1"/>
  <c r="E604" i="1"/>
  <c r="F604" i="1"/>
  <c r="G604" i="1"/>
  <c r="H604" i="1"/>
  <c r="I604" i="1"/>
  <c r="C605" i="1"/>
  <c r="D605" i="1"/>
  <c r="E605" i="1"/>
  <c r="F605" i="1"/>
  <c r="G605" i="1"/>
  <c r="H605" i="1"/>
  <c r="I605" i="1"/>
  <c r="C606" i="1"/>
  <c r="D606" i="1"/>
  <c r="E606" i="1"/>
  <c r="F606" i="1"/>
  <c r="G606" i="1"/>
  <c r="H606" i="1"/>
  <c r="I606" i="1"/>
  <c r="C607" i="1"/>
  <c r="D607" i="1"/>
  <c r="E607" i="1"/>
  <c r="F607" i="1"/>
  <c r="G607" i="1"/>
  <c r="H607" i="1"/>
  <c r="I607" i="1"/>
  <c r="C608" i="1"/>
  <c r="D608" i="1"/>
  <c r="E608" i="1"/>
  <c r="F608" i="1"/>
  <c r="G608" i="1"/>
  <c r="H608" i="1"/>
  <c r="I608" i="1"/>
  <c r="C609" i="1"/>
  <c r="D609" i="1"/>
  <c r="E609" i="1"/>
  <c r="F609" i="1"/>
  <c r="G609" i="1"/>
  <c r="H609" i="1"/>
  <c r="I609" i="1"/>
  <c r="C610" i="1"/>
  <c r="D610" i="1"/>
  <c r="E610" i="1"/>
  <c r="F610" i="1"/>
  <c r="G610" i="1"/>
  <c r="H610" i="1"/>
  <c r="I610" i="1"/>
  <c r="C611" i="1"/>
  <c r="D611" i="1"/>
  <c r="E611" i="1"/>
  <c r="F611" i="1"/>
  <c r="G611" i="1"/>
  <c r="H611" i="1"/>
  <c r="I611" i="1"/>
  <c r="C612" i="1"/>
  <c r="D612" i="1"/>
  <c r="E612" i="1"/>
  <c r="F612" i="1"/>
  <c r="G612" i="1"/>
  <c r="H612" i="1"/>
  <c r="I612" i="1"/>
  <c r="C613" i="1"/>
  <c r="D613" i="1"/>
  <c r="E613" i="1"/>
  <c r="F613" i="1"/>
  <c r="G613" i="1"/>
  <c r="H613" i="1"/>
  <c r="I613" i="1"/>
  <c r="C614" i="1"/>
  <c r="D614" i="1"/>
  <c r="E614" i="1"/>
  <c r="F614" i="1"/>
  <c r="G614" i="1"/>
  <c r="H614" i="1"/>
  <c r="I614" i="1"/>
  <c r="C615" i="1"/>
  <c r="D615" i="1"/>
  <c r="E615" i="1"/>
  <c r="F615" i="1"/>
  <c r="G615" i="1"/>
  <c r="H615" i="1"/>
  <c r="I615" i="1"/>
  <c r="C616" i="1"/>
  <c r="D616" i="1"/>
  <c r="E616" i="1"/>
  <c r="F616" i="1"/>
  <c r="G616" i="1"/>
  <c r="H616" i="1"/>
  <c r="I616" i="1"/>
  <c r="C617" i="1"/>
  <c r="D617" i="1"/>
  <c r="E617" i="1"/>
  <c r="F617" i="1"/>
  <c r="G617" i="1"/>
  <c r="H617" i="1"/>
  <c r="I617" i="1"/>
  <c r="C618" i="1"/>
  <c r="D618" i="1"/>
  <c r="E618" i="1"/>
  <c r="F618" i="1"/>
  <c r="G618" i="1"/>
  <c r="H618" i="1"/>
  <c r="I618" i="1"/>
  <c r="C619" i="1"/>
  <c r="D619" i="1"/>
  <c r="E619" i="1"/>
  <c r="F619" i="1"/>
  <c r="G619" i="1"/>
  <c r="H619" i="1"/>
  <c r="I619" i="1"/>
  <c r="C620" i="1"/>
  <c r="D620" i="1"/>
  <c r="E620" i="1"/>
  <c r="F620" i="1"/>
  <c r="G620" i="1"/>
  <c r="H620" i="1"/>
  <c r="I620" i="1"/>
  <c r="C621" i="1"/>
  <c r="D621" i="1"/>
  <c r="E621" i="1"/>
  <c r="F621" i="1"/>
  <c r="G621" i="1"/>
  <c r="H621" i="1"/>
  <c r="I621" i="1"/>
  <c r="C622" i="1"/>
  <c r="D622" i="1"/>
  <c r="E622" i="1"/>
  <c r="F622" i="1"/>
  <c r="G622" i="1"/>
  <c r="H622" i="1"/>
  <c r="I622" i="1"/>
  <c r="C623" i="1"/>
  <c r="D623" i="1"/>
  <c r="E623" i="1"/>
  <c r="F623" i="1"/>
  <c r="G623" i="1"/>
  <c r="H623" i="1"/>
  <c r="I623" i="1"/>
  <c r="C624" i="1"/>
  <c r="D624" i="1"/>
  <c r="E624" i="1"/>
  <c r="F624" i="1"/>
  <c r="G624" i="1"/>
  <c r="H624" i="1"/>
  <c r="I624" i="1"/>
  <c r="C625" i="1"/>
  <c r="D625" i="1"/>
  <c r="E625" i="1"/>
  <c r="F625" i="1"/>
  <c r="G625" i="1"/>
  <c r="H625" i="1"/>
  <c r="I625" i="1"/>
  <c r="C653" i="1"/>
  <c r="D653" i="1"/>
  <c r="E653" i="1"/>
  <c r="F653" i="1"/>
  <c r="G653" i="1"/>
  <c r="H653" i="1"/>
  <c r="I653" i="1"/>
  <c r="C654" i="1"/>
  <c r="D654" i="1"/>
  <c r="E654" i="1"/>
  <c r="F654" i="1"/>
  <c r="G654" i="1"/>
  <c r="H654" i="1"/>
  <c r="I654" i="1"/>
  <c r="C655" i="1"/>
  <c r="D655" i="1"/>
  <c r="E655" i="1"/>
  <c r="F655" i="1"/>
  <c r="G655" i="1"/>
  <c r="H655" i="1"/>
  <c r="I655" i="1"/>
  <c r="C656" i="1"/>
  <c r="D656" i="1"/>
  <c r="E656" i="1"/>
  <c r="F656" i="1"/>
  <c r="G656" i="1"/>
  <c r="H656" i="1"/>
  <c r="I656" i="1"/>
  <c r="C657" i="1"/>
  <c r="D657" i="1"/>
  <c r="E657" i="1"/>
  <c r="F657" i="1"/>
  <c r="G657" i="1"/>
  <c r="H657" i="1"/>
  <c r="I657" i="1"/>
  <c r="C658" i="1"/>
  <c r="D658" i="1"/>
  <c r="E658" i="1"/>
  <c r="F658" i="1"/>
  <c r="G658" i="1"/>
  <c r="H658" i="1"/>
  <c r="I658" i="1"/>
  <c r="C659" i="1"/>
  <c r="D659" i="1"/>
  <c r="E659" i="1"/>
  <c r="F659" i="1"/>
  <c r="G659" i="1"/>
  <c r="H659" i="1"/>
  <c r="I659" i="1"/>
  <c r="C660" i="1"/>
  <c r="D660" i="1"/>
  <c r="E660" i="1"/>
  <c r="F660" i="1"/>
  <c r="G660" i="1"/>
  <c r="H660" i="1"/>
  <c r="I660" i="1"/>
  <c r="C661" i="1"/>
  <c r="D661" i="1"/>
  <c r="E661" i="1"/>
  <c r="F661" i="1"/>
  <c r="G661" i="1"/>
  <c r="H661" i="1"/>
  <c r="I661" i="1"/>
  <c r="C662" i="1"/>
  <c r="D662" i="1"/>
  <c r="E662" i="1"/>
  <c r="F662" i="1"/>
  <c r="G662" i="1"/>
  <c r="H662" i="1"/>
  <c r="I662" i="1"/>
  <c r="C663" i="1"/>
  <c r="D663" i="1"/>
  <c r="E663" i="1"/>
  <c r="F663" i="1"/>
  <c r="G663" i="1"/>
  <c r="H663" i="1"/>
  <c r="I663" i="1"/>
  <c r="C664" i="1"/>
  <c r="D664" i="1"/>
  <c r="E664" i="1"/>
  <c r="F664" i="1"/>
  <c r="G664" i="1"/>
  <c r="H664" i="1"/>
  <c r="I664" i="1"/>
  <c r="C665" i="1"/>
  <c r="D665" i="1"/>
  <c r="E665" i="1"/>
  <c r="F665" i="1"/>
  <c r="G665" i="1"/>
  <c r="H665" i="1"/>
  <c r="I665" i="1"/>
  <c r="C666" i="1"/>
  <c r="D666" i="1"/>
  <c r="E666" i="1"/>
  <c r="F666" i="1"/>
  <c r="G666" i="1"/>
  <c r="H666" i="1"/>
  <c r="I666" i="1"/>
  <c r="C667" i="1"/>
  <c r="D667" i="1"/>
  <c r="E667" i="1"/>
  <c r="F667" i="1"/>
  <c r="G667" i="1"/>
  <c r="H667" i="1"/>
  <c r="I667" i="1"/>
  <c r="C668" i="1"/>
  <c r="D668" i="1"/>
  <c r="E668" i="1"/>
  <c r="F668" i="1"/>
  <c r="G668" i="1"/>
  <c r="H668" i="1"/>
  <c r="I668" i="1"/>
  <c r="C709" i="1"/>
  <c r="D709" i="1"/>
  <c r="E709" i="1"/>
  <c r="F709" i="1"/>
  <c r="G709" i="1"/>
  <c r="H709" i="1"/>
  <c r="I709" i="1"/>
  <c r="C710" i="1"/>
  <c r="D710" i="1"/>
  <c r="E710" i="1"/>
  <c r="F710" i="1"/>
  <c r="G710" i="1"/>
  <c r="H710" i="1"/>
  <c r="I710" i="1"/>
  <c r="C711" i="1"/>
  <c r="D711" i="1"/>
  <c r="E711" i="1"/>
  <c r="F711" i="1"/>
  <c r="G711" i="1"/>
  <c r="H711" i="1"/>
  <c r="I711" i="1"/>
  <c r="C712" i="1"/>
  <c r="D712" i="1"/>
  <c r="E712" i="1"/>
  <c r="F712" i="1"/>
  <c r="G712" i="1"/>
  <c r="H712" i="1"/>
  <c r="I712" i="1"/>
  <c r="C713" i="1"/>
  <c r="D713" i="1"/>
  <c r="E713" i="1"/>
  <c r="F713" i="1"/>
  <c r="G713" i="1"/>
  <c r="H713" i="1"/>
  <c r="I713" i="1"/>
  <c r="C762" i="1"/>
  <c r="D762" i="1"/>
  <c r="E762" i="1"/>
  <c r="F762" i="1"/>
  <c r="G762" i="1"/>
  <c r="H762" i="1"/>
  <c r="I762" i="1"/>
  <c r="C714" i="1"/>
  <c r="D714" i="1"/>
  <c r="E714" i="1"/>
  <c r="F714" i="1"/>
  <c r="G714" i="1"/>
  <c r="H714" i="1"/>
  <c r="I714" i="1"/>
  <c r="C715" i="1"/>
  <c r="D715" i="1"/>
  <c r="E715" i="1"/>
  <c r="F715" i="1"/>
  <c r="G715" i="1"/>
  <c r="H715" i="1"/>
  <c r="I715" i="1"/>
  <c r="C716" i="1"/>
  <c r="D716" i="1"/>
  <c r="E716" i="1"/>
  <c r="F716" i="1"/>
  <c r="G716" i="1"/>
  <c r="H716" i="1"/>
  <c r="I716" i="1"/>
  <c r="C717" i="1"/>
  <c r="D717" i="1"/>
  <c r="E717" i="1"/>
  <c r="F717" i="1"/>
  <c r="G717" i="1"/>
  <c r="H717" i="1"/>
  <c r="I717" i="1"/>
  <c r="C718" i="1"/>
  <c r="D718" i="1"/>
  <c r="E718" i="1"/>
  <c r="F718" i="1"/>
  <c r="G718" i="1"/>
  <c r="H718" i="1"/>
  <c r="I718" i="1"/>
  <c r="C719" i="1"/>
  <c r="D719" i="1"/>
  <c r="E719" i="1"/>
  <c r="F719" i="1"/>
  <c r="G719" i="1"/>
  <c r="H719" i="1"/>
  <c r="I719" i="1"/>
  <c r="C720" i="1"/>
  <c r="D720" i="1"/>
  <c r="E720" i="1"/>
  <c r="F720" i="1"/>
  <c r="G720" i="1"/>
  <c r="H720" i="1"/>
  <c r="I720" i="1"/>
  <c r="C721" i="1"/>
  <c r="D721" i="1"/>
  <c r="E721" i="1"/>
  <c r="F721" i="1"/>
  <c r="G721" i="1"/>
  <c r="H721" i="1"/>
  <c r="I721" i="1"/>
  <c r="C722" i="1"/>
  <c r="D722" i="1"/>
  <c r="E722" i="1"/>
  <c r="F722" i="1"/>
  <c r="G722" i="1"/>
  <c r="H722" i="1"/>
  <c r="I722" i="1"/>
  <c r="C1654" i="1"/>
  <c r="D1654" i="1"/>
  <c r="E1654" i="1"/>
  <c r="F1654" i="1"/>
  <c r="G1654" i="1"/>
  <c r="H1654" i="1"/>
  <c r="I1654" i="1"/>
  <c r="C723" i="1"/>
  <c r="D723" i="1"/>
  <c r="E723" i="1"/>
  <c r="F723" i="1"/>
  <c r="G723" i="1"/>
  <c r="H723" i="1"/>
  <c r="I723" i="1"/>
  <c r="C724" i="1"/>
  <c r="D724" i="1"/>
  <c r="E724" i="1"/>
  <c r="F724" i="1"/>
  <c r="G724" i="1"/>
  <c r="H724" i="1"/>
  <c r="I724" i="1"/>
  <c r="C759" i="1"/>
  <c r="D759" i="1"/>
  <c r="E759" i="1"/>
  <c r="F759" i="1"/>
  <c r="G759" i="1"/>
  <c r="H759" i="1"/>
  <c r="I759" i="1"/>
  <c r="C761" i="1"/>
  <c r="D761" i="1"/>
  <c r="E761" i="1"/>
  <c r="F761" i="1"/>
  <c r="G761" i="1"/>
  <c r="H761" i="1"/>
  <c r="I761" i="1"/>
  <c r="C725" i="1"/>
  <c r="D725" i="1"/>
  <c r="E725" i="1"/>
  <c r="F725" i="1"/>
  <c r="G725" i="1"/>
  <c r="H725" i="1"/>
  <c r="I725" i="1"/>
  <c r="C726" i="1"/>
  <c r="D726" i="1"/>
  <c r="E726" i="1"/>
  <c r="F726" i="1"/>
  <c r="G726" i="1"/>
  <c r="H726" i="1"/>
  <c r="I726" i="1"/>
  <c r="C727" i="1"/>
  <c r="D727" i="1"/>
  <c r="E727" i="1"/>
  <c r="F727" i="1"/>
  <c r="G727" i="1"/>
  <c r="H727" i="1"/>
  <c r="I727" i="1"/>
  <c r="C728" i="1"/>
  <c r="D728" i="1"/>
  <c r="E728" i="1"/>
  <c r="F728" i="1"/>
  <c r="G728" i="1"/>
  <c r="H728" i="1"/>
  <c r="I728" i="1"/>
  <c r="C768" i="1"/>
  <c r="D768" i="1"/>
  <c r="E768" i="1"/>
  <c r="F768" i="1"/>
  <c r="G768" i="1"/>
  <c r="H768" i="1"/>
  <c r="I768" i="1"/>
  <c r="C769" i="1"/>
  <c r="D769" i="1"/>
  <c r="E769" i="1"/>
  <c r="F769" i="1"/>
  <c r="G769" i="1"/>
  <c r="H769" i="1"/>
  <c r="I769" i="1"/>
  <c r="C770" i="1"/>
  <c r="D770" i="1"/>
  <c r="E770" i="1"/>
  <c r="F770" i="1"/>
  <c r="G770" i="1"/>
  <c r="H770" i="1"/>
  <c r="I770" i="1"/>
  <c r="C826" i="1"/>
  <c r="D826" i="1"/>
  <c r="E826" i="1"/>
  <c r="F826" i="1"/>
  <c r="G826" i="1"/>
  <c r="H826" i="1"/>
  <c r="I826" i="1"/>
  <c r="C771" i="1"/>
  <c r="D771" i="1"/>
  <c r="E771" i="1"/>
  <c r="F771" i="1"/>
  <c r="G771" i="1"/>
  <c r="H771" i="1"/>
  <c r="I771" i="1"/>
  <c r="C772" i="1"/>
  <c r="D772" i="1"/>
  <c r="E772" i="1"/>
  <c r="F772" i="1"/>
  <c r="G772" i="1"/>
  <c r="H772" i="1"/>
  <c r="I772" i="1"/>
  <c r="C773" i="1"/>
  <c r="D773" i="1"/>
  <c r="E773" i="1"/>
  <c r="F773" i="1"/>
  <c r="G773" i="1"/>
  <c r="H773" i="1"/>
  <c r="I773" i="1"/>
  <c r="C774" i="1"/>
  <c r="D774" i="1"/>
  <c r="E774" i="1"/>
  <c r="F774" i="1"/>
  <c r="G774" i="1"/>
  <c r="H774" i="1"/>
  <c r="I774" i="1"/>
  <c r="C775" i="1"/>
  <c r="D775" i="1"/>
  <c r="E775" i="1"/>
  <c r="F775" i="1"/>
  <c r="G775" i="1"/>
  <c r="H775" i="1"/>
  <c r="I775" i="1"/>
  <c r="C776" i="1"/>
  <c r="D776" i="1"/>
  <c r="E776" i="1"/>
  <c r="F776" i="1"/>
  <c r="G776" i="1"/>
  <c r="H776" i="1"/>
  <c r="I776" i="1"/>
  <c r="C777" i="1"/>
  <c r="D777" i="1"/>
  <c r="E777" i="1"/>
  <c r="F777" i="1"/>
  <c r="G777" i="1"/>
  <c r="H777" i="1"/>
  <c r="I777" i="1"/>
  <c r="C778" i="1"/>
  <c r="D778" i="1"/>
  <c r="E778" i="1"/>
  <c r="F778" i="1"/>
  <c r="G778" i="1"/>
  <c r="H778" i="1"/>
  <c r="I778" i="1"/>
  <c r="C779" i="1"/>
  <c r="D779" i="1"/>
  <c r="E779" i="1"/>
  <c r="F779" i="1"/>
  <c r="G779" i="1"/>
  <c r="H779" i="1"/>
  <c r="I779" i="1"/>
  <c r="C780" i="1"/>
  <c r="D780" i="1"/>
  <c r="E780" i="1"/>
  <c r="F780" i="1"/>
  <c r="G780" i="1"/>
  <c r="H780" i="1"/>
  <c r="I780" i="1"/>
  <c r="C781" i="1"/>
  <c r="D781" i="1"/>
  <c r="E781" i="1"/>
  <c r="F781" i="1"/>
  <c r="G781" i="1"/>
  <c r="H781" i="1"/>
  <c r="I781" i="1"/>
  <c r="C782" i="1"/>
  <c r="D782" i="1"/>
  <c r="E782" i="1"/>
  <c r="F782" i="1"/>
  <c r="G782" i="1"/>
  <c r="H782" i="1"/>
  <c r="I782" i="1"/>
  <c r="C783" i="1"/>
  <c r="D783" i="1"/>
  <c r="E783" i="1"/>
  <c r="F783" i="1"/>
  <c r="G783" i="1"/>
  <c r="H783" i="1"/>
  <c r="I783" i="1"/>
  <c r="C784" i="1"/>
  <c r="D784" i="1"/>
  <c r="E784" i="1"/>
  <c r="F784" i="1"/>
  <c r="G784" i="1"/>
  <c r="H784" i="1"/>
  <c r="I784" i="1"/>
  <c r="C785" i="1"/>
  <c r="D785" i="1"/>
  <c r="E785" i="1"/>
  <c r="F785" i="1"/>
  <c r="G785" i="1"/>
  <c r="H785" i="1"/>
  <c r="I785" i="1"/>
  <c r="C836" i="1"/>
  <c r="D836" i="1"/>
  <c r="E836" i="1"/>
  <c r="F836" i="1"/>
  <c r="G836" i="1"/>
  <c r="H836" i="1"/>
  <c r="I836" i="1"/>
  <c r="C837" i="1"/>
  <c r="D837" i="1"/>
  <c r="E837" i="1"/>
  <c r="F837" i="1"/>
  <c r="G837" i="1"/>
  <c r="H837" i="1"/>
  <c r="I837" i="1"/>
  <c r="C786" i="1"/>
  <c r="D786" i="1"/>
  <c r="E786" i="1"/>
  <c r="F786" i="1"/>
  <c r="G786" i="1"/>
  <c r="H786" i="1"/>
  <c r="I786" i="1"/>
  <c r="C787" i="1"/>
  <c r="D787" i="1"/>
  <c r="E787" i="1"/>
  <c r="F787" i="1"/>
  <c r="G787" i="1"/>
  <c r="H787" i="1"/>
  <c r="I787" i="1"/>
  <c r="C788" i="1"/>
  <c r="D788" i="1"/>
  <c r="E788" i="1"/>
  <c r="F788" i="1"/>
  <c r="G788" i="1"/>
  <c r="H788" i="1"/>
  <c r="I788" i="1"/>
  <c r="C789" i="1"/>
  <c r="D789" i="1"/>
  <c r="E789" i="1"/>
  <c r="F789" i="1"/>
  <c r="G789" i="1"/>
  <c r="H789" i="1"/>
  <c r="I789" i="1"/>
  <c r="C790" i="1"/>
  <c r="D790" i="1"/>
  <c r="E790" i="1"/>
  <c r="F790" i="1"/>
  <c r="G790" i="1"/>
  <c r="H790" i="1"/>
  <c r="I790" i="1"/>
  <c r="C791" i="1"/>
  <c r="D791" i="1"/>
  <c r="E791" i="1"/>
  <c r="F791" i="1"/>
  <c r="G791" i="1"/>
  <c r="H791" i="1"/>
  <c r="I791" i="1"/>
  <c r="C792" i="1"/>
  <c r="D792" i="1"/>
  <c r="E792" i="1"/>
  <c r="F792" i="1"/>
  <c r="G792" i="1"/>
  <c r="H792" i="1"/>
  <c r="I792" i="1"/>
  <c r="C793" i="1"/>
  <c r="D793" i="1"/>
  <c r="E793" i="1"/>
  <c r="F793" i="1"/>
  <c r="G793" i="1"/>
  <c r="H793" i="1"/>
  <c r="I793" i="1"/>
  <c r="C794" i="1"/>
  <c r="D794" i="1"/>
  <c r="E794" i="1"/>
  <c r="F794" i="1"/>
  <c r="G794" i="1"/>
  <c r="H794" i="1"/>
  <c r="I794" i="1"/>
  <c r="C795" i="1"/>
  <c r="D795" i="1"/>
  <c r="E795" i="1"/>
  <c r="F795" i="1"/>
  <c r="G795" i="1"/>
  <c r="H795" i="1"/>
  <c r="I795" i="1"/>
  <c r="C796" i="1"/>
  <c r="D796" i="1"/>
  <c r="E796" i="1"/>
  <c r="F796" i="1"/>
  <c r="G796" i="1"/>
  <c r="H796" i="1"/>
  <c r="I796" i="1"/>
  <c r="C846" i="1"/>
  <c r="D846" i="1"/>
  <c r="E846" i="1"/>
  <c r="F846" i="1"/>
  <c r="G846" i="1"/>
  <c r="H846" i="1"/>
  <c r="I846" i="1"/>
  <c r="C847" i="1"/>
  <c r="D847" i="1"/>
  <c r="E847" i="1"/>
  <c r="F847" i="1"/>
  <c r="G847" i="1"/>
  <c r="H847" i="1"/>
  <c r="I847" i="1"/>
  <c r="C848" i="1"/>
  <c r="D848" i="1"/>
  <c r="E848" i="1"/>
  <c r="F848" i="1"/>
  <c r="G848" i="1"/>
  <c r="H848" i="1"/>
  <c r="I848" i="1"/>
  <c r="C849" i="1"/>
  <c r="D849" i="1"/>
  <c r="E849" i="1"/>
  <c r="F849" i="1"/>
  <c r="G849" i="1"/>
  <c r="H849" i="1"/>
  <c r="I849" i="1"/>
  <c r="C797" i="1"/>
  <c r="D797" i="1"/>
  <c r="E797" i="1"/>
  <c r="F797" i="1"/>
  <c r="G797" i="1"/>
  <c r="H797" i="1"/>
  <c r="I797" i="1"/>
  <c r="C850" i="1"/>
  <c r="D850" i="1"/>
  <c r="E850" i="1"/>
  <c r="F850" i="1"/>
  <c r="G850" i="1"/>
  <c r="H850" i="1"/>
  <c r="I850" i="1"/>
  <c r="C851" i="1"/>
  <c r="D851" i="1"/>
  <c r="E851" i="1"/>
  <c r="F851" i="1"/>
  <c r="G851" i="1"/>
  <c r="H851" i="1"/>
  <c r="I851" i="1"/>
  <c r="C971" i="1"/>
  <c r="D971" i="1"/>
  <c r="E971" i="1"/>
  <c r="F971" i="1"/>
  <c r="G971" i="1"/>
  <c r="H971" i="1"/>
  <c r="I971" i="1"/>
  <c r="C852" i="1"/>
  <c r="D852" i="1"/>
  <c r="E852" i="1"/>
  <c r="F852" i="1"/>
  <c r="G852" i="1"/>
  <c r="H852" i="1"/>
  <c r="I852" i="1"/>
  <c r="C972" i="1"/>
  <c r="D972" i="1"/>
  <c r="E972" i="1"/>
  <c r="F972" i="1"/>
  <c r="G972" i="1"/>
  <c r="H972" i="1"/>
  <c r="I972" i="1"/>
  <c r="C987" i="1"/>
  <c r="D987" i="1"/>
  <c r="E987" i="1"/>
  <c r="F987" i="1"/>
  <c r="G987" i="1"/>
  <c r="H987" i="1"/>
  <c r="I987" i="1"/>
  <c r="C853" i="1"/>
  <c r="D853" i="1"/>
  <c r="E853" i="1"/>
  <c r="F853" i="1"/>
  <c r="G853" i="1"/>
  <c r="H853" i="1"/>
  <c r="I853" i="1"/>
  <c r="C854" i="1"/>
  <c r="D854" i="1"/>
  <c r="E854" i="1"/>
  <c r="F854" i="1"/>
  <c r="G854" i="1"/>
  <c r="H854" i="1"/>
  <c r="I854" i="1"/>
  <c r="C855" i="1"/>
  <c r="D855" i="1"/>
  <c r="E855" i="1"/>
  <c r="F855" i="1"/>
  <c r="G855" i="1"/>
  <c r="H855" i="1"/>
  <c r="I855" i="1"/>
  <c r="C856" i="1"/>
  <c r="D856" i="1"/>
  <c r="E856" i="1"/>
  <c r="F856" i="1"/>
  <c r="G856" i="1"/>
  <c r="H856" i="1"/>
  <c r="I856" i="1"/>
  <c r="C857" i="1"/>
  <c r="D857" i="1"/>
  <c r="E857" i="1"/>
  <c r="F857" i="1"/>
  <c r="G857" i="1"/>
  <c r="H857" i="1"/>
  <c r="I857" i="1"/>
  <c r="C858" i="1"/>
  <c r="D858" i="1"/>
  <c r="E858" i="1"/>
  <c r="F858" i="1"/>
  <c r="G858" i="1"/>
  <c r="H858" i="1"/>
  <c r="I858" i="1"/>
  <c r="C859" i="1"/>
  <c r="D859" i="1"/>
  <c r="E859" i="1"/>
  <c r="F859" i="1"/>
  <c r="G859" i="1"/>
  <c r="H859" i="1"/>
  <c r="I859" i="1"/>
  <c r="C860" i="1"/>
  <c r="D860" i="1"/>
  <c r="E860" i="1"/>
  <c r="F860" i="1"/>
  <c r="G860" i="1"/>
  <c r="H860" i="1"/>
  <c r="I860" i="1"/>
  <c r="C861" i="1"/>
  <c r="D861" i="1"/>
  <c r="E861" i="1"/>
  <c r="F861" i="1"/>
  <c r="G861" i="1"/>
  <c r="H861" i="1"/>
  <c r="I861" i="1"/>
  <c r="C862" i="1"/>
  <c r="D862" i="1"/>
  <c r="E862" i="1"/>
  <c r="F862" i="1"/>
  <c r="G862" i="1"/>
  <c r="H862" i="1"/>
  <c r="I862" i="1"/>
  <c r="C863" i="1"/>
  <c r="D863" i="1"/>
  <c r="E863" i="1"/>
  <c r="F863" i="1"/>
  <c r="G863" i="1"/>
  <c r="H863" i="1"/>
  <c r="I863" i="1"/>
  <c r="C864" i="1"/>
  <c r="D864" i="1"/>
  <c r="E864" i="1"/>
  <c r="F864" i="1"/>
  <c r="G864" i="1"/>
  <c r="H864" i="1"/>
  <c r="I864" i="1"/>
  <c r="C865" i="1"/>
  <c r="D865" i="1"/>
  <c r="E865" i="1"/>
  <c r="F865" i="1"/>
  <c r="G865" i="1"/>
  <c r="H865" i="1"/>
  <c r="I865" i="1"/>
  <c r="C866" i="1"/>
  <c r="D866" i="1"/>
  <c r="E866" i="1"/>
  <c r="F866" i="1"/>
  <c r="G866" i="1"/>
  <c r="H866" i="1"/>
  <c r="I866" i="1"/>
  <c r="C867" i="1"/>
  <c r="D867" i="1"/>
  <c r="E867" i="1"/>
  <c r="F867" i="1"/>
  <c r="G867" i="1"/>
  <c r="H867" i="1"/>
  <c r="I867" i="1"/>
  <c r="C868" i="1"/>
  <c r="D868" i="1"/>
  <c r="E868" i="1"/>
  <c r="F868" i="1"/>
  <c r="G868" i="1"/>
  <c r="H868" i="1"/>
  <c r="I868" i="1"/>
  <c r="C869" i="1"/>
  <c r="D869" i="1"/>
  <c r="E869" i="1"/>
  <c r="F869" i="1"/>
  <c r="G869" i="1"/>
  <c r="H869" i="1"/>
  <c r="I869" i="1"/>
  <c r="C870" i="1"/>
  <c r="D870" i="1"/>
  <c r="E870" i="1"/>
  <c r="F870" i="1"/>
  <c r="G870" i="1"/>
  <c r="H870" i="1"/>
  <c r="I870" i="1"/>
  <c r="C871" i="1"/>
  <c r="D871" i="1"/>
  <c r="E871" i="1"/>
  <c r="F871" i="1"/>
  <c r="G871" i="1"/>
  <c r="H871" i="1"/>
  <c r="I871" i="1"/>
  <c r="C872" i="1"/>
  <c r="D872" i="1"/>
  <c r="E872" i="1"/>
  <c r="F872" i="1"/>
  <c r="G872" i="1"/>
  <c r="H872" i="1"/>
  <c r="I872" i="1"/>
  <c r="C873" i="1"/>
  <c r="D873" i="1"/>
  <c r="E873" i="1"/>
  <c r="F873" i="1"/>
  <c r="G873" i="1"/>
  <c r="H873" i="1"/>
  <c r="I873" i="1"/>
  <c r="C874" i="1"/>
  <c r="D874" i="1"/>
  <c r="E874" i="1"/>
  <c r="F874" i="1"/>
  <c r="G874" i="1"/>
  <c r="H874" i="1"/>
  <c r="I874" i="1"/>
  <c r="C875" i="1"/>
  <c r="D875" i="1"/>
  <c r="E875" i="1"/>
  <c r="F875" i="1"/>
  <c r="G875" i="1"/>
  <c r="H875" i="1"/>
  <c r="I875" i="1"/>
  <c r="C876" i="1"/>
  <c r="D876" i="1"/>
  <c r="E876" i="1"/>
  <c r="F876" i="1"/>
  <c r="G876" i="1"/>
  <c r="H876" i="1"/>
  <c r="I876" i="1"/>
  <c r="C877" i="1"/>
  <c r="D877" i="1"/>
  <c r="E877" i="1"/>
  <c r="F877" i="1"/>
  <c r="G877" i="1"/>
  <c r="H877" i="1"/>
  <c r="I877" i="1"/>
  <c r="C878" i="1"/>
  <c r="D878" i="1"/>
  <c r="E878" i="1"/>
  <c r="F878" i="1"/>
  <c r="G878" i="1"/>
  <c r="H878" i="1"/>
  <c r="I878" i="1"/>
  <c r="C879" i="1"/>
  <c r="D879" i="1"/>
  <c r="E879" i="1"/>
  <c r="F879" i="1"/>
  <c r="G879" i="1"/>
  <c r="H879" i="1"/>
  <c r="I879" i="1"/>
  <c r="C880" i="1"/>
  <c r="D880" i="1"/>
  <c r="E880" i="1"/>
  <c r="F880" i="1"/>
  <c r="G880" i="1"/>
  <c r="H880" i="1"/>
  <c r="I880" i="1"/>
  <c r="C881" i="1"/>
  <c r="D881" i="1"/>
  <c r="E881" i="1"/>
  <c r="F881" i="1"/>
  <c r="G881" i="1"/>
  <c r="H881" i="1"/>
  <c r="I881" i="1"/>
  <c r="C882" i="1"/>
  <c r="D882" i="1"/>
  <c r="E882" i="1"/>
  <c r="F882" i="1"/>
  <c r="G882" i="1"/>
  <c r="H882" i="1"/>
  <c r="I882" i="1"/>
  <c r="C3188" i="1"/>
  <c r="D3188" i="1"/>
  <c r="E3188" i="1"/>
  <c r="F3188" i="1"/>
  <c r="G3188" i="1"/>
  <c r="H3188" i="1"/>
  <c r="I3188" i="1"/>
  <c r="C883" i="1"/>
  <c r="D883" i="1"/>
  <c r="E883" i="1"/>
  <c r="F883" i="1"/>
  <c r="G883" i="1"/>
  <c r="H883" i="1"/>
  <c r="I883" i="1"/>
  <c r="C884" i="1"/>
  <c r="D884" i="1"/>
  <c r="E884" i="1"/>
  <c r="F884" i="1"/>
  <c r="G884" i="1"/>
  <c r="H884" i="1"/>
  <c r="I884" i="1"/>
  <c r="C885" i="1"/>
  <c r="D885" i="1"/>
  <c r="E885" i="1"/>
  <c r="F885" i="1"/>
  <c r="G885" i="1"/>
  <c r="H885" i="1"/>
  <c r="I885" i="1"/>
  <c r="C886" i="1"/>
  <c r="D886" i="1"/>
  <c r="E886" i="1"/>
  <c r="F886" i="1"/>
  <c r="G886" i="1"/>
  <c r="H886" i="1"/>
  <c r="I886" i="1"/>
  <c r="C887" i="1"/>
  <c r="D887" i="1"/>
  <c r="E887" i="1"/>
  <c r="F887" i="1"/>
  <c r="G887" i="1"/>
  <c r="H887" i="1"/>
  <c r="I887" i="1"/>
  <c r="C973" i="1"/>
  <c r="D973" i="1"/>
  <c r="E973" i="1"/>
  <c r="F973" i="1"/>
  <c r="G973" i="1"/>
  <c r="H973" i="1"/>
  <c r="I973" i="1"/>
  <c r="C979" i="1"/>
  <c r="D979" i="1"/>
  <c r="E979" i="1"/>
  <c r="F979" i="1"/>
  <c r="G979" i="1"/>
  <c r="H979" i="1"/>
  <c r="I979" i="1"/>
  <c r="C984" i="1"/>
  <c r="D984" i="1"/>
  <c r="E984" i="1"/>
  <c r="F984" i="1"/>
  <c r="G984" i="1"/>
  <c r="H984" i="1"/>
  <c r="I984" i="1"/>
  <c r="C888" i="1"/>
  <c r="D888" i="1"/>
  <c r="E888" i="1"/>
  <c r="F888" i="1"/>
  <c r="G888" i="1"/>
  <c r="H888" i="1"/>
  <c r="I888" i="1"/>
  <c r="C889" i="1"/>
  <c r="D889" i="1"/>
  <c r="E889" i="1"/>
  <c r="F889" i="1"/>
  <c r="G889" i="1"/>
  <c r="H889" i="1"/>
  <c r="I889" i="1"/>
  <c r="C890" i="1"/>
  <c r="D890" i="1"/>
  <c r="E890" i="1"/>
  <c r="F890" i="1"/>
  <c r="G890" i="1"/>
  <c r="H890" i="1"/>
  <c r="I890" i="1"/>
  <c r="C891" i="1"/>
  <c r="D891" i="1"/>
  <c r="E891" i="1"/>
  <c r="F891" i="1"/>
  <c r="G891" i="1"/>
  <c r="H891" i="1"/>
  <c r="I891" i="1"/>
  <c r="C701" i="1"/>
  <c r="D701" i="1"/>
  <c r="E701" i="1"/>
  <c r="F701" i="1"/>
  <c r="G701" i="1"/>
  <c r="H701" i="1"/>
  <c r="I701" i="1"/>
  <c r="C892" i="1"/>
  <c r="D892" i="1"/>
  <c r="E892" i="1"/>
  <c r="F892" i="1"/>
  <c r="G892" i="1"/>
  <c r="H892" i="1"/>
  <c r="I892" i="1"/>
  <c r="C893" i="1"/>
  <c r="D893" i="1"/>
  <c r="E893" i="1"/>
  <c r="F893" i="1"/>
  <c r="G893" i="1"/>
  <c r="H893" i="1"/>
  <c r="I893" i="1"/>
  <c r="C894" i="1"/>
  <c r="D894" i="1"/>
  <c r="E894" i="1"/>
  <c r="F894" i="1"/>
  <c r="G894" i="1"/>
  <c r="H894" i="1"/>
  <c r="I894" i="1"/>
  <c r="C895" i="1"/>
  <c r="D895" i="1"/>
  <c r="E895" i="1"/>
  <c r="F895" i="1"/>
  <c r="G895" i="1"/>
  <c r="H895" i="1"/>
  <c r="I895" i="1"/>
  <c r="C896" i="1"/>
  <c r="D896" i="1"/>
  <c r="E896" i="1"/>
  <c r="F896" i="1"/>
  <c r="G896" i="1"/>
  <c r="H896" i="1"/>
  <c r="I896" i="1"/>
  <c r="C897" i="1"/>
  <c r="D897" i="1"/>
  <c r="E897" i="1"/>
  <c r="F897" i="1"/>
  <c r="G897" i="1"/>
  <c r="H897" i="1"/>
  <c r="I897" i="1"/>
  <c r="C898" i="1"/>
  <c r="D898" i="1"/>
  <c r="E898" i="1"/>
  <c r="F898" i="1"/>
  <c r="G898" i="1"/>
  <c r="H898" i="1"/>
  <c r="I898" i="1"/>
  <c r="C899" i="1"/>
  <c r="D899" i="1"/>
  <c r="E899" i="1"/>
  <c r="F899" i="1"/>
  <c r="G899" i="1"/>
  <c r="H899" i="1"/>
  <c r="I899" i="1"/>
  <c r="C900" i="1"/>
  <c r="D900" i="1"/>
  <c r="E900" i="1"/>
  <c r="F900" i="1"/>
  <c r="G900" i="1"/>
  <c r="H900" i="1"/>
  <c r="I900" i="1"/>
  <c r="C901" i="1"/>
  <c r="D901" i="1"/>
  <c r="E901" i="1"/>
  <c r="F901" i="1"/>
  <c r="G901" i="1"/>
  <c r="H901" i="1"/>
  <c r="I901" i="1"/>
  <c r="C902" i="1"/>
  <c r="D902" i="1"/>
  <c r="E902" i="1"/>
  <c r="F902" i="1"/>
  <c r="G902" i="1"/>
  <c r="H902" i="1"/>
  <c r="I902" i="1"/>
  <c r="C903" i="1"/>
  <c r="D903" i="1"/>
  <c r="E903" i="1"/>
  <c r="F903" i="1"/>
  <c r="G903" i="1"/>
  <c r="H903" i="1"/>
  <c r="I903" i="1"/>
  <c r="C904" i="1"/>
  <c r="D904" i="1"/>
  <c r="E904" i="1"/>
  <c r="F904" i="1"/>
  <c r="G904" i="1"/>
  <c r="H904" i="1"/>
  <c r="I904" i="1"/>
  <c r="C905" i="1"/>
  <c r="D905" i="1"/>
  <c r="E905" i="1"/>
  <c r="F905" i="1"/>
  <c r="G905" i="1"/>
  <c r="H905" i="1"/>
  <c r="I905" i="1"/>
  <c r="C906" i="1"/>
  <c r="D906" i="1"/>
  <c r="E906" i="1"/>
  <c r="F906" i="1"/>
  <c r="G906" i="1"/>
  <c r="H906" i="1"/>
  <c r="I906" i="1"/>
  <c r="C989" i="1"/>
  <c r="D989" i="1"/>
  <c r="E989" i="1"/>
  <c r="F989" i="1"/>
  <c r="G989" i="1"/>
  <c r="H989" i="1"/>
  <c r="I989" i="1"/>
  <c r="C980" i="1"/>
  <c r="D980" i="1"/>
  <c r="E980" i="1"/>
  <c r="F980" i="1"/>
  <c r="G980" i="1"/>
  <c r="H980" i="1"/>
  <c r="I980" i="1"/>
  <c r="C985" i="1"/>
  <c r="D985" i="1"/>
  <c r="E985" i="1"/>
  <c r="F985" i="1"/>
  <c r="G985" i="1"/>
  <c r="H985" i="1"/>
  <c r="I985" i="1"/>
  <c r="C974" i="1"/>
  <c r="D974" i="1"/>
  <c r="E974" i="1"/>
  <c r="F974" i="1"/>
  <c r="G974" i="1"/>
  <c r="H974" i="1"/>
  <c r="I974" i="1"/>
  <c r="C981" i="1"/>
  <c r="D981" i="1"/>
  <c r="E981" i="1"/>
  <c r="F981" i="1"/>
  <c r="G981" i="1"/>
  <c r="H981" i="1"/>
  <c r="I981" i="1"/>
  <c r="C986" i="1"/>
  <c r="D986" i="1"/>
  <c r="E986" i="1"/>
  <c r="F986" i="1"/>
  <c r="G986" i="1"/>
  <c r="H986" i="1"/>
  <c r="I986" i="1"/>
  <c r="C907" i="1"/>
  <c r="D907" i="1"/>
  <c r="E907" i="1"/>
  <c r="F907" i="1"/>
  <c r="G907" i="1"/>
  <c r="H907" i="1"/>
  <c r="I907" i="1"/>
  <c r="C908" i="1"/>
  <c r="D908" i="1"/>
  <c r="E908" i="1"/>
  <c r="F908" i="1"/>
  <c r="G908" i="1"/>
  <c r="H908" i="1"/>
  <c r="I908" i="1"/>
  <c r="C909" i="1"/>
  <c r="D909" i="1"/>
  <c r="E909" i="1"/>
  <c r="F909" i="1"/>
  <c r="G909" i="1"/>
  <c r="H909" i="1"/>
  <c r="I909" i="1"/>
  <c r="C910" i="1"/>
  <c r="D910" i="1"/>
  <c r="E910" i="1"/>
  <c r="F910" i="1"/>
  <c r="G910" i="1"/>
  <c r="H910" i="1"/>
  <c r="I910" i="1"/>
  <c r="C911" i="1"/>
  <c r="D911" i="1"/>
  <c r="E911" i="1"/>
  <c r="F911" i="1"/>
  <c r="G911" i="1"/>
  <c r="H911" i="1"/>
  <c r="I911" i="1"/>
  <c r="C912" i="1"/>
  <c r="D912" i="1"/>
  <c r="E912" i="1"/>
  <c r="F912" i="1"/>
  <c r="G912" i="1"/>
  <c r="H912" i="1"/>
  <c r="I912" i="1"/>
  <c r="C913" i="1"/>
  <c r="D913" i="1"/>
  <c r="E913" i="1"/>
  <c r="F913" i="1"/>
  <c r="G913" i="1"/>
  <c r="H913" i="1"/>
  <c r="I913" i="1"/>
  <c r="C914" i="1"/>
  <c r="D914" i="1"/>
  <c r="E914" i="1"/>
  <c r="F914" i="1"/>
  <c r="G914" i="1"/>
  <c r="H914" i="1"/>
  <c r="I914" i="1"/>
  <c r="C915" i="1"/>
  <c r="D915" i="1"/>
  <c r="E915" i="1"/>
  <c r="F915" i="1"/>
  <c r="G915" i="1"/>
  <c r="H915" i="1"/>
  <c r="I915" i="1"/>
  <c r="C916" i="1"/>
  <c r="D916" i="1"/>
  <c r="E916" i="1"/>
  <c r="F916" i="1"/>
  <c r="G916" i="1"/>
  <c r="H916" i="1"/>
  <c r="I916" i="1"/>
  <c r="C994" i="1"/>
  <c r="D994" i="1"/>
  <c r="E994" i="1"/>
  <c r="F994" i="1"/>
  <c r="G994" i="1"/>
  <c r="H994" i="1"/>
  <c r="I994" i="1"/>
  <c r="C995" i="1"/>
  <c r="D995" i="1"/>
  <c r="E995" i="1"/>
  <c r="F995" i="1"/>
  <c r="G995" i="1"/>
  <c r="H995" i="1"/>
  <c r="I995" i="1"/>
  <c r="C996" i="1"/>
  <c r="D996" i="1"/>
  <c r="E996" i="1"/>
  <c r="F996" i="1"/>
  <c r="G996" i="1"/>
  <c r="H996" i="1"/>
  <c r="I996" i="1"/>
  <c r="C997" i="1"/>
  <c r="D997" i="1"/>
  <c r="E997" i="1"/>
  <c r="F997" i="1"/>
  <c r="G997" i="1"/>
  <c r="H997" i="1"/>
  <c r="I997" i="1"/>
  <c r="C998" i="1"/>
  <c r="D998" i="1"/>
  <c r="E998" i="1"/>
  <c r="F998" i="1"/>
  <c r="G998" i="1"/>
  <c r="H998" i="1"/>
  <c r="I998" i="1"/>
  <c r="C1098" i="1"/>
  <c r="D1098" i="1"/>
  <c r="E1098" i="1"/>
  <c r="F1098" i="1"/>
  <c r="G1098" i="1"/>
  <c r="H1098" i="1"/>
  <c r="I1098" i="1"/>
  <c r="C1105" i="1"/>
  <c r="D1105" i="1"/>
  <c r="E1105" i="1"/>
  <c r="F1105" i="1"/>
  <c r="G1105" i="1"/>
  <c r="H1105" i="1"/>
  <c r="I1105" i="1"/>
  <c r="C999" i="1"/>
  <c r="D999" i="1"/>
  <c r="E999" i="1"/>
  <c r="F999" i="1"/>
  <c r="G999" i="1"/>
  <c r="H999" i="1"/>
  <c r="I999" i="1"/>
  <c r="C1000" i="1"/>
  <c r="D1000" i="1"/>
  <c r="E1000" i="1"/>
  <c r="F1000" i="1"/>
  <c r="G1000" i="1"/>
  <c r="H1000" i="1"/>
  <c r="I1000" i="1"/>
  <c r="C1001" i="1"/>
  <c r="D1001" i="1"/>
  <c r="E1001" i="1"/>
  <c r="F1001" i="1"/>
  <c r="G1001" i="1"/>
  <c r="H1001" i="1"/>
  <c r="I1001" i="1"/>
  <c r="C1002" i="1"/>
  <c r="D1002" i="1"/>
  <c r="E1002" i="1"/>
  <c r="F1002" i="1"/>
  <c r="G1002" i="1"/>
  <c r="H1002" i="1"/>
  <c r="I1002" i="1"/>
  <c r="C1003" i="1"/>
  <c r="D1003" i="1"/>
  <c r="E1003" i="1"/>
  <c r="F1003" i="1"/>
  <c r="G1003" i="1"/>
  <c r="H1003" i="1"/>
  <c r="I1003" i="1"/>
  <c r="C1004" i="1"/>
  <c r="D1004" i="1"/>
  <c r="E1004" i="1"/>
  <c r="F1004" i="1"/>
  <c r="G1004" i="1"/>
  <c r="H1004" i="1"/>
  <c r="I1004" i="1"/>
  <c r="C1005" i="1"/>
  <c r="D1005" i="1"/>
  <c r="E1005" i="1"/>
  <c r="F1005" i="1"/>
  <c r="G1005" i="1"/>
  <c r="H1005" i="1"/>
  <c r="I1005" i="1"/>
  <c r="C1006" i="1"/>
  <c r="D1006" i="1"/>
  <c r="E1006" i="1"/>
  <c r="F1006" i="1"/>
  <c r="G1006" i="1"/>
  <c r="H1006" i="1"/>
  <c r="I1006" i="1"/>
  <c r="C1007" i="1"/>
  <c r="D1007" i="1"/>
  <c r="E1007" i="1"/>
  <c r="F1007" i="1"/>
  <c r="G1007" i="1"/>
  <c r="H1007" i="1"/>
  <c r="I1007" i="1"/>
  <c r="C1008" i="1"/>
  <c r="D1008" i="1"/>
  <c r="E1008" i="1"/>
  <c r="F1008" i="1"/>
  <c r="G1008" i="1"/>
  <c r="H1008" i="1"/>
  <c r="I1008" i="1"/>
  <c r="C1009" i="1"/>
  <c r="D1009" i="1"/>
  <c r="E1009" i="1"/>
  <c r="F1009" i="1"/>
  <c r="G1009" i="1"/>
  <c r="H1009" i="1"/>
  <c r="I1009" i="1"/>
  <c r="C1010" i="1"/>
  <c r="D1010" i="1"/>
  <c r="E1010" i="1"/>
  <c r="F1010" i="1"/>
  <c r="G1010" i="1"/>
  <c r="H1010" i="1"/>
  <c r="I1010" i="1"/>
  <c r="C1011" i="1"/>
  <c r="D1011" i="1"/>
  <c r="E1011" i="1"/>
  <c r="F1011" i="1"/>
  <c r="G1011" i="1"/>
  <c r="H1011" i="1"/>
  <c r="I1011" i="1"/>
  <c r="C1012" i="1"/>
  <c r="D1012" i="1"/>
  <c r="E1012" i="1"/>
  <c r="F1012" i="1"/>
  <c r="G1012" i="1"/>
  <c r="H1012" i="1"/>
  <c r="I1012" i="1"/>
  <c r="C1013" i="1"/>
  <c r="D1013" i="1"/>
  <c r="E1013" i="1"/>
  <c r="F1013" i="1"/>
  <c r="G1013" i="1"/>
  <c r="H1013" i="1"/>
  <c r="I1013" i="1"/>
  <c r="C1014" i="1"/>
  <c r="D1014" i="1"/>
  <c r="E1014" i="1"/>
  <c r="F1014" i="1"/>
  <c r="G1014" i="1"/>
  <c r="H1014" i="1"/>
  <c r="I1014" i="1"/>
  <c r="C1015" i="1"/>
  <c r="D1015" i="1"/>
  <c r="E1015" i="1"/>
  <c r="F1015" i="1"/>
  <c r="G1015" i="1"/>
  <c r="H1015" i="1"/>
  <c r="I1015" i="1"/>
  <c r="C1016" i="1"/>
  <c r="D1016" i="1"/>
  <c r="E1016" i="1"/>
  <c r="F1016" i="1"/>
  <c r="G1016" i="1"/>
  <c r="H1016" i="1"/>
  <c r="I1016" i="1"/>
  <c r="C1017" i="1"/>
  <c r="D1017" i="1"/>
  <c r="E1017" i="1"/>
  <c r="F1017" i="1"/>
  <c r="G1017" i="1"/>
  <c r="H1017" i="1"/>
  <c r="I1017" i="1"/>
  <c r="C1018" i="1"/>
  <c r="D1018" i="1"/>
  <c r="E1018" i="1"/>
  <c r="F1018" i="1"/>
  <c r="G1018" i="1"/>
  <c r="H1018" i="1"/>
  <c r="I1018" i="1"/>
  <c r="C1019" i="1"/>
  <c r="D1019" i="1"/>
  <c r="E1019" i="1"/>
  <c r="F1019" i="1"/>
  <c r="G1019" i="1"/>
  <c r="H1019" i="1"/>
  <c r="I1019" i="1"/>
  <c r="C1020" i="1"/>
  <c r="D1020" i="1"/>
  <c r="E1020" i="1"/>
  <c r="F1020" i="1"/>
  <c r="G1020" i="1"/>
  <c r="H1020" i="1"/>
  <c r="I1020" i="1"/>
  <c r="C1021" i="1"/>
  <c r="D1021" i="1"/>
  <c r="E1021" i="1"/>
  <c r="F1021" i="1"/>
  <c r="G1021" i="1"/>
  <c r="H1021" i="1"/>
  <c r="I1021" i="1"/>
  <c r="C1022" i="1"/>
  <c r="D1022" i="1"/>
  <c r="E1022" i="1"/>
  <c r="F1022" i="1"/>
  <c r="G1022" i="1"/>
  <c r="H1022" i="1"/>
  <c r="I1022" i="1"/>
  <c r="C1023" i="1"/>
  <c r="D1023" i="1"/>
  <c r="E1023" i="1"/>
  <c r="F1023" i="1"/>
  <c r="G1023" i="1"/>
  <c r="H1023" i="1"/>
  <c r="I1023" i="1"/>
  <c r="C1024" i="1"/>
  <c r="D1024" i="1"/>
  <c r="E1024" i="1"/>
  <c r="F1024" i="1"/>
  <c r="G1024" i="1"/>
  <c r="H1024" i="1"/>
  <c r="I1024" i="1"/>
  <c r="C1025" i="1"/>
  <c r="D1025" i="1"/>
  <c r="E1025" i="1"/>
  <c r="F1025" i="1"/>
  <c r="G1025" i="1"/>
  <c r="H1025" i="1"/>
  <c r="I1025" i="1"/>
  <c r="C1026" i="1"/>
  <c r="D1026" i="1"/>
  <c r="E1026" i="1"/>
  <c r="F1026" i="1"/>
  <c r="G1026" i="1"/>
  <c r="H1026" i="1"/>
  <c r="I1026" i="1"/>
  <c r="C2682" i="1"/>
  <c r="D2682" i="1"/>
  <c r="E2682" i="1"/>
  <c r="F2682" i="1"/>
  <c r="G2682" i="1"/>
  <c r="H2682" i="1"/>
  <c r="I2682" i="1"/>
  <c r="C1027" i="1"/>
  <c r="D1027" i="1"/>
  <c r="E1027" i="1"/>
  <c r="F1027" i="1"/>
  <c r="G1027" i="1"/>
  <c r="H1027" i="1"/>
  <c r="I1027" i="1"/>
  <c r="C1028" i="1"/>
  <c r="D1028" i="1"/>
  <c r="E1028" i="1"/>
  <c r="F1028" i="1"/>
  <c r="G1028" i="1"/>
  <c r="H1028" i="1"/>
  <c r="I1028" i="1"/>
  <c r="C1029" i="1"/>
  <c r="D1029" i="1"/>
  <c r="E1029" i="1"/>
  <c r="F1029" i="1"/>
  <c r="G1029" i="1"/>
  <c r="H1029" i="1"/>
  <c r="I1029" i="1"/>
  <c r="C1030" i="1"/>
  <c r="D1030" i="1"/>
  <c r="E1030" i="1"/>
  <c r="F1030" i="1"/>
  <c r="G1030" i="1"/>
  <c r="H1030" i="1"/>
  <c r="I1030" i="1"/>
  <c r="C1031" i="1"/>
  <c r="D1031" i="1"/>
  <c r="E1031" i="1"/>
  <c r="F1031" i="1"/>
  <c r="G1031" i="1"/>
  <c r="H1031" i="1"/>
  <c r="I1031" i="1"/>
  <c r="C1032" i="1"/>
  <c r="D1032" i="1"/>
  <c r="E1032" i="1"/>
  <c r="F1032" i="1"/>
  <c r="G1032" i="1"/>
  <c r="H1032" i="1"/>
  <c r="I1032" i="1"/>
  <c r="C1033" i="1"/>
  <c r="D1033" i="1"/>
  <c r="E1033" i="1"/>
  <c r="F1033" i="1"/>
  <c r="G1033" i="1"/>
  <c r="H1033" i="1"/>
  <c r="I1033" i="1"/>
  <c r="C1034" i="1"/>
  <c r="D1034" i="1"/>
  <c r="E1034" i="1"/>
  <c r="F1034" i="1"/>
  <c r="G1034" i="1"/>
  <c r="H1034" i="1"/>
  <c r="I1034" i="1"/>
  <c r="C1035" i="1"/>
  <c r="D1035" i="1"/>
  <c r="E1035" i="1"/>
  <c r="F1035" i="1"/>
  <c r="G1035" i="1"/>
  <c r="H1035" i="1"/>
  <c r="I1035" i="1"/>
  <c r="C1036" i="1"/>
  <c r="D1036" i="1"/>
  <c r="E1036" i="1"/>
  <c r="F1036" i="1"/>
  <c r="G1036" i="1"/>
  <c r="H1036" i="1"/>
  <c r="I1036" i="1"/>
  <c r="C1037" i="1"/>
  <c r="D1037" i="1"/>
  <c r="E1037" i="1"/>
  <c r="F1037" i="1"/>
  <c r="G1037" i="1"/>
  <c r="H1037" i="1"/>
  <c r="I1037" i="1"/>
  <c r="C1038" i="1"/>
  <c r="D1038" i="1"/>
  <c r="E1038" i="1"/>
  <c r="F1038" i="1"/>
  <c r="G1038" i="1"/>
  <c r="H1038" i="1"/>
  <c r="I1038" i="1"/>
  <c r="C1039" i="1"/>
  <c r="D1039" i="1"/>
  <c r="E1039" i="1"/>
  <c r="F1039" i="1"/>
  <c r="G1039" i="1"/>
  <c r="H1039" i="1"/>
  <c r="I1039" i="1"/>
  <c r="C1040" i="1"/>
  <c r="D1040" i="1"/>
  <c r="E1040" i="1"/>
  <c r="F1040" i="1"/>
  <c r="G1040" i="1"/>
  <c r="H1040" i="1"/>
  <c r="I1040" i="1"/>
  <c r="C1041" i="1"/>
  <c r="D1041" i="1"/>
  <c r="E1041" i="1"/>
  <c r="F1041" i="1"/>
  <c r="G1041" i="1"/>
  <c r="H1041" i="1"/>
  <c r="I1041" i="1"/>
  <c r="C1042" i="1"/>
  <c r="D1042" i="1"/>
  <c r="E1042" i="1"/>
  <c r="F1042" i="1"/>
  <c r="G1042" i="1"/>
  <c r="H1042" i="1"/>
  <c r="I1042" i="1"/>
  <c r="C1043" i="1"/>
  <c r="D1043" i="1"/>
  <c r="E1043" i="1"/>
  <c r="F1043" i="1"/>
  <c r="G1043" i="1"/>
  <c r="H1043" i="1"/>
  <c r="I1043" i="1"/>
  <c r="C1044" i="1"/>
  <c r="D1044" i="1"/>
  <c r="E1044" i="1"/>
  <c r="F1044" i="1"/>
  <c r="G1044" i="1"/>
  <c r="H1044" i="1"/>
  <c r="I1044" i="1"/>
  <c r="C1045" i="1"/>
  <c r="D1045" i="1"/>
  <c r="E1045" i="1"/>
  <c r="F1045" i="1"/>
  <c r="G1045" i="1"/>
  <c r="H1045" i="1"/>
  <c r="I1045" i="1"/>
  <c r="C1046" i="1"/>
  <c r="D1046" i="1"/>
  <c r="E1046" i="1"/>
  <c r="F1046" i="1"/>
  <c r="G1046" i="1"/>
  <c r="H1046" i="1"/>
  <c r="I1046" i="1"/>
  <c r="C1108" i="1"/>
  <c r="D1108" i="1"/>
  <c r="E1108" i="1"/>
  <c r="F1108" i="1"/>
  <c r="G1108" i="1"/>
  <c r="H1108" i="1"/>
  <c r="I1108" i="1"/>
  <c r="C1109" i="1"/>
  <c r="D1109" i="1"/>
  <c r="E1109" i="1"/>
  <c r="F1109" i="1"/>
  <c r="G1109" i="1"/>
  <c r="H1109" i="1"/>
  <c r="I1109" i="1"/>
  <c r="C1111" i="1"/>
  <c r="D1111" i="1"/>
  <c r="E1111" i="1"/>
  <c r="F1111" i="1"/>
  <c r="G1111" i="1"/>
  <c r="H1111" i="1"/>
  <c r="I1111" i="1"/>
  <c r="C1112" i="1"/>
  <c r="D1112" i="1"/>
  <c r="E1112" i="1"/>
  <c r="F1112" i="1"/>
  <c r="G1112" i="1"/>
  <c r="H1112" i="1"/>
  <c r="I1112" i="1"/>
  <c r="C1047" i="1"/>
  <c r="D1047" i="1"/>
  <c r="E1047" i="1"/>
  <c r="F1047" i="1"/>
  <c r="G1047" i="1"/>
  <c r="H1047" i="1"/>
  <c r="I1047" i="1"/>
  <c r="C1099" i="1"/>
  <c r="D1099" i="1"/>
  <c r="E1099" i="1"/>
  <c r="F1099" i="1"/>
  <c r="G1099" i="1"/>
  <c r="H1099" i="1"/>
  <c r="I1099" i="1"/>
  <c r="C1048" i="1"/>
  <c r="D1048" i="1"/>
  <c r="E1048" i="1"/>
  <c r="F1048" i="1"/>
  <c r="G1048" i="1"/>
  <c r="H1048" i="1"/>
  <c r="I1048" i="1"/>
  <c r="C1049" i="1"/>
  <c r="D1049" i="1"/>
  <c r="E1049" i="1"/>
  <c r="F1049" i="1"/>
  <c r="G1049" i="1"/>
  <c r="H1049" i="1"/>
  <c r="I1049" i="1"/>
  <c r="C1050" i="1"/>
  <c r="D1050" i="1"/>
  <c r="E1050" i="1"/>
  <c r="F1050" i="1"/>
  <c r="G1050" i="1"/>
  <c r="H1050" i="1"/>
  <c r="I1050" i="1"/>
  <c r="C1051" i="1"/>
  <c r="D1051" i="1"/>
  <c r="E1051" i="1"/>
  <c r="F1051" i="1"/>
  <c r="G1051" i="1"/>
  <c r="H1051" i="1"/>
  <c r="I1051" i="1"/>
  <c r="C1052" i="1"/>
  <c r="D1052" i="1"/>
  <c r="E1052" i="1"/>
  <c r="F1052" i="1"/>
  <c r="G1052" i="1"/>
  <c r="H1052" i="1"/>
  <c r="I1052" i="1"/>
  <c r="C1053" i="1"/>
  <c r="D1053" i="1"/>
  <c r="E1053" i="1"/>
  <c r="F1053" i="1"/>
  <c r="G1053" i="1"/>
  <c r="H1053" i="1"/>
  <c r="I1053" i="1"/>
  <c r="C1114" i="1"/>
  <c r="D1114" i="1"/>
  <c r="E1114" i="1"/>
  <c r="F1114" i="1"/>
  <c r="G1114" i="1"/>
  <c r="H1114" i="1"/>
  <c r="I1114" i="1"/>
  <c r="C1115" i="1"/>
  <c r="D1115" i="1"/>
  <c r="E1115" i="1"/>
  <c r="F1115" i="1"/>
  <c r="G1115" i="1"/>
  <c r="H1115" i="1"/>
  <c r="I1115" i="1"/>
  <c r="C1116" i="1"/>
  <c r="D1116" i="1"/>
  <c r="E1116" i="1"/>
  <c r="F1116" i="1"/>
  <c r="G1116" i="1"/>
  <c r="H1116" i="1"/>
  <c r="I1116" i="1"/>
  <c r="C1117" i="1"/>
  <c r="D1117" i="1"/>
  <c r="E1117" i="1"/>
  <c r="F1117" i="1"/>
  <c r="G1117" i="1"/>
  <c r="H1117" i="1"/>
  <c r="I1117" i="1"/>
  <c r="C1118" i="1"/>
  <c r="D1118" i="1"/>
  <c r="E1118" i="1"/>
  <c r="F1118" i="1"/>
  <c r="G1118" i="1"/>
  <c r="H1118" i="1"/>
  <c r="I1118" i="1"/>
  <c r="C1119" i="1"/>
  <c r="D1119" i="1"/>
  <c r="E1119" i="1"/>
  <c r="F1119" i="1"/>
  <c r="G1119" i="1"/>
  <c r="H1119" i="1"/>
  <c r="I1119" i="1"/>
  <c r="C1120" i="1"/>
  <c r="D1120" i="1"/>
  <c r="E1120" i="1"/>
  <c r="F1120" i="1"/>
  <c r="G1120" i="1"/>
  <c r="H1120" i="1"/>
  <c r="I1120" i="1"/>
  <c r="C1121" i="1"/>
  <c r="D1121" i="1"/>
  <c r="E1121" i="1"/>
  <c r="F1121" i="1"/>
  <c r="G1121" i="1"/>
  <c r="H1121" i="1"/>
  <c r="I1121" i="1"/>
  <c r="C1122" i="1"/>
  <c r="D1122" i="1"/>
  <c r="E1122" i="1"/>
  <c r="F1122" i="1"/>
  <c r="G1122" i="1"/>
  <c r="H1122" i="1"/>
  <c r="I1122" i="1"/>
  <c r="C1123" i="1"/>
  <c r="D1123" i="1"/>
  <c r="E1123" i="1"/>
  <c r="F1123" i="1"/>
  <c r="G1123" i="1"/>
  <c r="H1123" i="1"/>
  <c r="I1123" i="1"/>
  <c r="C1124" i="1"/>
  <c r="D1124" i="1"/>
  <c r="E1124" i="1"/>
  <c r="F1124" i="1"/>
  <c r="G1124" i="1"/>
  <c r="H1124" i="1"/>
  <c r="I1124" i="1"/>
  <c r="C1125" i="1"/>
  <c r="D1125" i="1"/>
  <c r="E1125" i="1"/>
  <c r="F1125" i="1"/>
  <c r="G1125" i="1"/>
  <c r="H1125" i="1"/>
  <c r="I1125" i="1"/>
  <c r="C1126" i="1"/>
  <c r="D1126" i="1"/>
  <c r="E1126" i="1"/>
  <c r="F1126" i="1"/>
  <c r="G1126" i="1"/>
  <c r="H1126" i="1"/>
  <c r="I1126" i="1"/>
  <c r="C1127" i="1"/>
  <c r="D1127" i="1"/>
  <c r="E1127" i="1"/>
  <c r="F1127" i="1"/>
  <c r="G1127" i="1"/>
  <c r="H1127" i="1"/>
  <c r="I1127" i="1"/>
  <c r="C1128" i="1"/>
  <c r="D1128" i="1"/>
  <c r="E1128" i="1"/>
  <c r="F1128" i="1"/>
  <c r="G1128" i="1"/>
  <c r="H1128" i="1"/>
  <c r="I1128" i="1"/>
  <c r="C1129" i="1"/>
  <c r="D1129" i="1"/>
  <c r="E1129" i="1"/>
  <c r="F1129" i="1"/>
  <c r="G1129" i="1"/>
  <c r="H1129" i="1"/>
  <c r="I1129" i="1"/>
  <c r="C1130" i="1"/>
  <c r="D1130" i="1"/>
  <c r="E1130" i="1"/>
  <c r="F1130" i="1"/>
  <c r="G1130" i="1"/>
  <c r="H1130" i="1"/>
  <c r="I1130" i="1"/>
  <c r="C1131" i="1"/>
  <c r="D1131" i="1"/>
  <c r="E1131" i="1"/>
  <c r="F1131" i="1"/>
  <c r="G1131" i="1"/>
  <c r="H1131" i="1"/>
  <c r="I1131" i="1"/>
  <c r="C1132" i="1"/>
  <c r="D1132" i="1"/>
  <c r="E1132" i="1"/>
  <c r="F1132" i="1"/>
  <c r="G1132" i="1"/>
  <c r="H1132" i="1"/>
  <c r="I1132" i="1"/>
  <c r="C1133" i="1"/>
  <c r="D1133" i="1"/>
  <c r="E1133" i="1"/>
  <c r="F1133" i="1"/>
  <c r="G1133" i="1"/>
  <c r="H1133" i="1"/>
  <c r="I1133" i="1"/>
  <c r="C1134" i="1"/>
  <c r="D1134" i="1"/>
  <c r="E1134" i="1"/>
  <c r="F1134" i="1"/>
  <c r="G1134" i="1"/>
  <c r="H1134" i="1"/>
  <c r="I1134" i="1"/>
  <c r="C1135" i="1"/>
  <c r="D1135" i="1"/>
  <c r="E1135" i="1"/>
  <c r="F1135" i="1"/>
  <c r="G1135" i="1"/>
  <c r="H1135" i="1"/>
  <c r="I1135" i="1"/>
  <c r="C1136" i="1"/>
  <c r="D1136" i="1"/>
  <c r="E1136" i="1"/>
  <c r="F1136" i="1"/>
  <c r="G1136" i="1"/>
  <c r="H1136" i="1"/>
  <c r="I1136" i="1"/>
  <c r="C1137" i="1"/>
  <c r="D1137" i="1"/>
  <c r="E1137" i="1"/>
  <c r="F1137" i="1"/>
  <c r="G1137" i="1"/>
  <c r="H1137" i="1"/>
  <c r="I1137" i="1"/>
  <c r="C1138" i="1"/>
  <c r="D1138" i="1"/>
  <c r="E1138" i="1"/>
  <c r="F1138" i="1"/>
  <c r="G1138" i="1"/>
  <c r="H1138" i="1"/>
  <c r="I1138" i="1"/>
  <c r="C1139" i="1"/>
  <c r="D1139" i="1"/>
  <c r="E1139" i="1"/>
  <c r="F1139" i="1"/>
  <c r="G1139" i="1"/>
  <c r="H1139" i="1"/>
  <c r="I1139" i="1"/>
  <c r="C1140" i="1"/>
  <c r="D1140" i="1"/>
  <c r="E1140" i="1"/>
  <c r="F1140" i="1"/>
  <c r="G1140" i="1"/>
  <c r="H1140" i="1"/>
  <c r="I1140" i="1"/>
  <c r="C1141" i="1"/>
  <c r="D1141" i="1"/>
  <c r="E1141" i="1"/>
  <c r="F1141" i="1"/>
  <c r="G1141" i="1"/>
  <c r="H1141" i="1"/>
  <c r="I1141" i="1"/>
  <c r="C1142" i="1"/>
  <c r="D1142" i="1"/>
  <c r="E1142" i="1"/>
  <c r="F1142" i="1"/>
  <c r="G1142" i="1"/>
  <c r="H1142" i="1"/>
  <c r="I1142" i="1"/>
  <c r="C1143" i="1"/>
  <c r="D1143" i="1"/>
  <c r="E1143" i="1"/>
  <c r="F1143" i="1"/>
  <c r="G1143" i="1"/>
  <c r="H1143" i="1"/>
  <c r="I1143" i="1"/>
  <c r="C1144" i="1"/>
  <c r="D1144" i="1"/>
  <c r="E1144" i="1"/>
  <c r="F1144" i="1"/>
  <c r="G1144" i="1"/>
  <c r="H1144" i="1"/>
  <c r="I1144" i="1"/>
  <c r="C1145" i="1"/>
  <c r="D1145" i="1"/>
  <c r="E1145" i="1"/>
  <c r="F1145" i="1"/>
  <c r="G1145" i="1"/>
  <c r="H1145" i="1"/>
  <c r="I1145" i="1"/>
  <c r="C1146" i="1"/>
  <c r="D1146" i="1"/>
  <c r="E1146" i="1"/>
  <c r="F1146" i="1"/>
  <c r="G1146" i="1"/>
  <c r="H1146" i="1"/>
  <c r="I1146" i="1"/>
  <c r="C1147" i="1"/>
  <c r="D1147" i="1"/>
  <c r="E1147" i="1"/>
  <c r="F1147" i="1"/>
  <c r="G1147" i="1"/>
  <c r="H1147" i="1"/>
  <c r="I1147" i="1"/>
  <c r="C1148" i="1"/>
  <c r="D1148" i="1"/>
  <c r="E1148" i="1"/>
  <c r="F1148" i="1"/>
  <c r="G1148" i="1"/>
  <c r="H1148" i="1"/>
  <c r="I1148" i="1"/>
  <c r="C1259" i="1"/>
  <c r="D1259" i="1"/>
  <c r="E1259" i="1"/>
  <c r="F1259" i="1"/>
  <c r="G1259" i="1"/>
  <c r="H1259" i="1"/>
  <c r="I1259" i="1"/>
  <c r="C1149" i="1"/>
  <c r="D1149" i="1"/>
  <c r="E1149" i="1"/>
  <c r="F1149" i="1"/>
  <c r="G1149" i="1"/>
  <c r="H1149" i="1"/>
  <c r="I1149" i="1"/>
  <c r="C1150" i="1"/>
  <c r="D1150" i="1"/>
  <c r="E1150" i="1"/>
  <c r="F1150" i="1"/>
  <c r="G1150" i="1"/>
  <c r="H1150" i="1"/>
  <c r="I1150" i="1"/>
  <c r="C1151" i="1"/>
  <c r="D1151" i="1"/>
  <c r="E1151" i="1"/>
  <c r="F1151" i="1"/>
  <c r="G1151" i="1"/>
  <c r="H1151" i="1"/>
  <c r="I1151" i="1"/>
  <c r="C1152" i="1"/>
  <c r="D1152" i="1"/>
  <c r="E1152" i="1"/>
  <c r="F1152" i="1"/>
  <c r="G1152" i="1"/>
  <c r="H1152" i="1"/>
  <c r="I1152" i="1"/>
  <c r="C1153" i="1"/>
  <c r="D1153" i="1"/>
  <c r="E1153" i="1"/>
  <c r="F1153" i="1"/>
  <c r="G1153" i="1"/>
  <c r="H1153" i="1"/>
  <c r="I1153" i="1"/>
  <c r="C1154" i="1"/>
  <c r="D1154" i="1"/>
  <c r="E1154" i="1"/>
  <c r="F1154" i="1"/>
  <c r="G1154" i="1"/>
  <c r="H1154" i="1"/>
  <c r="I1154" i="1"/>
  <c r="C1155" i="1"/>
  <c r="D1155" i="1"/>
  <c r="E1155" i="1"/>
  <c r="F1155" i="1"/>
  <c r="G1155" i="1"/>
  <c r="H1155" i="1"/>
  <c r="I1155" i="1"/>
  <c r="C1156" i="1"/>
  <c r="D1156" i="1"/>
  <c r="E1156" i="1"/>
  <c r="F1156" i="1"/>
  <c r="G1156" i="1"/>
  <c r="H1156" i="1"/>
  <c r="I1156" i="1"/>
  <c r="C1236" i="1"/>
  <c r="D1236" i="1"/>
  <c r="E1236" i="1"/>
  <c r="F1236" i="1"/>
  <c r="G1236" i="1"/>
  <c r="H1236" i="1"/>
  <c r="I1236" i="1"/>
  <c r="C1157" i="1"/>
  <c r="D1157" i="1"/>
  <c r="E1157" i="1"/>
  <c r="F1157" i="1"/>
  <c r="G1157" i="1"/>
  <c r="H1157" i="1"/>
  <c r="I1157" i="1"/>
  <c r="C1158" i="1"/>
  <c r="D1158" i="1"/>
  <c r="E1158" i="1"/>
  <c r="F1158" i="1"/>
  <c r="G1158" i="1"/>
  <c r="H1158" i="1"/>
  <c r="I1158" i="1"/>
  <c r="C1159" i="1"/>
  <c r="D1159" i="1"/>
  <c r="E1159" i="1"/>
  <c r="F1159" i="1"/>
  <c r="G1159" i="1"/>
  <c r="H1159" i="1"/>
  <c r="I1159" i="1"/>
  <c r="C1160" i="1"/>
  <c r="D1160" i="1"/>
  <c r="E1160" i="1"/>
  <c r="F1160" i="1"/>
  <c r="G1160" i="1"/>
  <c r="H1160" i="1"/>
  <c r="I1160" i="1"/>
  <c r="C1161" i="1"/>
  <c r="D1161" i="1"/>
  <c r="E1161" i="1"/>
  <c r="F1161" i="1"/>
  <c r="G1161" i="1"/>
  <c r="H1161" i="1"/>
  <c r="I1161" i="1"/>
  <c r="C1162" i="1"/>
  <c r="D1162" i="1"/>
  <c r="E1162" i="1"/>
  <c r="F1162" i="1"/>
  <c r="G1162" i="1"/>
  <c r="H1162" i="1"/>
  <c r="I1162" i="1"/>
  <c r="C1237" i="1"/>
  <c r="D1237" i="1"/>
  <c r="E1237" i="1"/>
  <c r="F1237" i="1"/>
  <c r="G1237" i="1"/>
  <c r="H1237" i="1"/>
  <c r="I1237" i="1"/>
  <c r="C1243" i="1"/>
  <c r="D1243" i="1"/>
  <c r="E1243" i="1"/>
  <c r="F1243" i="1"/>
  <c r="G1243" i="1"/>
  <c r="H1243" i="1"/>
  <c r="I1243" i="1"/>
  <c r="C1163" i="1"/>
  <c r="D1163" i="1"/>
  <c r="E1163" i="1"/>
  <c r="F1163" i="1"/>
  <c r="G1163" i="1"/>
  <c r="H1163" i="1"/>
  <c r="I1163" i="1"/>
  <c r="C1164" i="1"/>
  <c r="D1164" i="1"/>
  <c r="E1164" i="1"/>
  <c r="F1164" i="1"/>
  <c r="G1164" i="1"/>
  <c r="H1164" i="1"/>
  <c r="I1164" i="1"/>
  <c r="C1165" i="1"/>
  <c r="D1165" i="1"/>
  <c r="E1165" i="1"/>
  <c r="F1165" i="1"/>
  <c r="G1165" i="1"/>
  <c r="H1165" i="1"/>
  <c r="I1165" i="1"/>
  <c r="C1166" i="1"/>
  <c r="D1166" i="1"/>
  <c r="E1166" i="1"/>
  <c r="F1166" i="1"/>
  <c r="G1166" i="1"/>
  <c r="H1166" i="1"/>
  <c r="I1166" i="1"/>
  <c r="C1167" i="1"/>
  <c r="D1167" i="1"/>
  <c r="E1167" i="1"/>
  <c r="F1167" i="1"/>
  <c r="G1167" i="1"/>
  <c r="H1167" i="1"/>
  <c r="I1167" i="1"/>
  <c r="C1168" i="1"/>
  <c r="D1168" i="1"/>
  <c r="E1168" i="1"/>
  <c r="F1168" i="1"/>
  <c r="G1168" i="1"/>
  <c r="H1168" i="1"/>
  <c r="I1168" i="1"/>
  <c r="C1169" i="1"/>
  <c r="D1169" i="1"/>
  <c r="E1169" i="1"/>
  <c r="F1169" i="1"/>
  <c r="G1169" i="1"/>
  <c r="H1169" i="1"/>
  <c r="I1169" i="1"/>
  <c r="C1170" i="1"/>
  <c r="D1170" i="1"/>
  <c r="E1170" i="1"/>
  <c r="F1170" i="1"/>
  <c r="G1170" i="1"/>
  <c r="H1170" i="1"/>
  <c r="I1170" i="1"/>
  <c r="C1171" i="1"/>
  <c r="D1171" i="1"/>
  <c r="E1171" i="1"/>
  <c r="F1171" i="1"/>
  <c r="G1171" i="1"/>
  <c r="H1171" i="1"/>
  <c r="I1171" i="1"/>
  <c r="C1172" i="1"/>
  <c r="D1172" i="1"/>
  <c r="E1172" i="1"/>
  <c r="F1172" i="1"/>
  <c r="G1172" i="1"/>
  <c r="H1172" i="1"/>
  <c r="I1172" i="1"/>
  <c r="C1238" i="1"/>
  <c r="D1238" i="1"/>
  <c r="E1238" i="1"/>
  <c r="F1238" i="1"/>
  <c r="G1238" i="1"/>
  <c r="H1238" i="1"/>
  <c r="I1238" i="1"/>
  <c r="C1244" i="1"/>
  <c r="D1244" i="1"/>
  <c r="E1244" i="1"/>
  <c r="F1244" i="1"/>
  <c r="G1244" i="1"/>
  <c r="H1244" i="1"/>
  <c r="I1244" i="1"/>
  <c r="C1249" i="1"/>
  <c r="D1249" i="1"/>
  <c r="E1249" i="1"/>
  <c r="F1249" i="1"/>
  <c r="G1249" i="1"/>
  <c r="H1249" i="1"/>
  <c r="I1249" i="1"/>
  <c r="C1254" i="1"/>
  <c r="D1254" i="1"/>
  <c r="E1254" i="1"/>
  <c r="F1254" i="1"/>
  <c r="G1254" i="1"/>
  <c r="H1254" i="1"/>
  <c r="I1254" i="1"/>
  <c r="C1173" i="1"/>
  <c r="D1173" i="1"/>
  <c r="E1173" i="1"/>
  <c r="F1173" i="1"/>
  <c r="G1173" i="1"/>
  <c r="H1173" i="1"/>
  <c r="I1173" i="1"/>
  <c r="C1174" i="1"/>
  <c r="D1174" i="1"/>
  <c r="E1174" i="1"/>
  <c r="F1174" i="1"/>
  <c r="G1174" i="1"/>
  <c r="H1174" i="1"/>
  <c r="I1174" i="1"/>
  <c r="C1175" i="1"/>
  <c r="D1175" i="1"/>
  <c r="E1175" i="1"/>
  <c r="F1175" i="1"/>
  <c r="G1175" i="1"/>
  <c r="H1175" i="1"/>
  <c r="I1175" i="1"/>
  <c r="C1176" i="1"/>
  <c r="D1176" i="1"/>
  <c r="E1176" i="1"/>
  <c r="F1176" i="1"/>
  <c r="G1176" i="1"/>
  <c r="H1176" i="1"/>
  <c r="I1176" i="1"/>
  <c r="C1177" i="1"/>
  <c r="D1177" i="1"/>
  <c r="E1177" i="1"/>
  <c r="F1177" i="1"/>
  <c r="G1177" i="1"/>
  <c r="H1177" i="1"/>
  <c r="I1177" i="1"/>
  <c r="C1178" i="1"/>
  <c r="D1178" i="1"/>
  <c r="E1178" i="1"/>
  <c r="F1178" i="1"/>
  <c r="G1178" i="1"/>
  <c r="H1178" i="1"/>
  <c r="I1178" i="1"/>
  <c r="C1179" i="1"/>
  <c r="D1179" i="1"/>
  <c r="E1179" i="1"/>
  <c r="F1179" i="1"/>
  <c r="G1179" i="1"/>
  <c r="H1179" i="1"/>
  <c r="I1179" i="1"/>
  <c r="C1180" i="1"/>
  <c r="D1180" i="1"/>
  <c r="E1180" i="1"/>
  <c r="F1180" i="1"/>
  <c r="G1180" i="1"/>
  <c r="H1180" i="1"/>
  <c r="I1180" i="1"/>
  <c r="C1181" i="1"/>
  <c r="D1181" i="1"/>
  <c r="E1181" i="1"/>
  <c r="F1181" i="1"/>
  <c r="G1181" i="1"/>
  <c r="H1181" i="1"/>
  <c r="I1181" i="1"/>
  <c r="C1239" i="1"/>
  <c r="D1239" i="1"/>
  <c r="E1239" i="1"/>
  <c r="F1239" i="1"/>
  <c r="G1239" i="1"/>
  <c r="H1239" i="1"/>
  <c r="I1239" i="1"/>
  <c r="C1245" i="1"/>
  <c r="D1245" i="1"/>
  <c r="E1245" i="1"/>
  <c r="F1245" i="1"/>
  <c r="G1245" i="1"/>
  <c r="H1245" i="1"/>
  <c r="I1245" i="1"/>
  <c r="C1182" i="1"/>
  <c r="D1182" i="1"/>
  <c r="E1182" i="1"/>
  <c r="F1182" i="1"/>
  <c r="G1182" i="1"/>
  <c r="H1182" i="1"/>
  <c r="I1182" i="1"/>
  <c r="C1183" i="1"/>
  <c r="D1183" i="1"/>
  <c r="E1183" i="1"/>
  <c r="F1183" i="1"/>
  <c r="G1183" i="1"/>
  <c r="H1183" i="1"/>
  <c r="I1183" i="1"/>
  <c r="C1184" i="1"/>
  <c r="D1184" i="1"/>
  <c r="E1184" i="1"/>
  <c r="F1184" i="1"/>
  <c r="G1184" i="1"/>
  <c r="H1184" i="1"/>
  <c r="I1184" i="1"/>
  <c r="C1185" i="1"/>
  <c r="D1185" i="1"/>
  <c r="E1185" i="1"/>
  <c r="F1185" i="1"/>
  <c r="G1185" i="1"/>
  <c r="H1185" i="1"/>
  <c r="I1185" i="1"/>
  <c r="C1240" i="1"/>
  <c r="D1240" i="1"/>
  <c r="E1240" i="1"/>
  <c r="F1240" i="1"/>
  <c r="G1240" i="1"/>
  <c r="H1240" i="1"/>
  <c r="I1240" i="1"/>
  <c r="C1246" i="1"/>
  <c r="D1246" i="1"/>
  <c r="E1246" i="1"/>
  <c r="F1246" i="1"/>
  <c r="G1246" i="1"/>
  <c r="H1246" i="1"/>
  <c r="I1246" i="1"/>
  <c r="C1250" i="1"/>
  <c r="D1250" i="1"/>
  <c r="E1250" i="1"/>
  <c r="F1250" i="1"/>
  <c r="G1250" i="1"/>
  <c r="H1250" i="1"/>
  <c r="I1250" i="1"/>
  <c r="C1255" i="1"/>
  <c r="D1255" i="1"/>
  <c r="E1255" i="1"/>
  <c r="F1255" i="1"/>
  <c r="G1255" i="1"/>
  <c r="H1255" i="1"/>
  <c r="I1255" i="1"/>
  <c r="C1260" i="1"/>
  <c r="D1260" i="1"/>
  <c r="E1260" i="1"/>
  <c r="F1260" i="1"/>
  <c r="G1260" i="1"/>
  <c r="H1260" i="1"/>
  <c r="I1260" i="1"/>
  <c r="C1251" i="1"/>
  <c r="D1251" i="1"/>
  <c r="E1251" i="1"/>
  <c r="F1251" i="1"/>
  <c r="G1251" i="1"/>
  <c r="H1251" i="1"/>
  <c r="I1251" i="1"/>
  <c r="C1186" i="1"/>
  <c r="D1186" i="1"/>
  <c r="E1186" i="1"/>
  <c r="F1186" i="1"/>
  <c r="G1186" i="1"/>
  <c r="H1186" i="1"/>
  <c r="I1186" i="1"/>
  <c r="C1187" i="1"/>
  <c r="D1187" i="1"/>
  <c r="E1187" i="1"/>
  <c r="F1187" i="1"/>
  <c r="G1187" i="1"/>
  <c r="H1187" i="1"/>
  <c r="I1187" i="1"/>
  <c r="C1188" i="1"/>
  <c r="D1188" i="1"/>
  <c r="E1188" i="1"/>
  <c r="F1188" i="1"/>
  <c r="G1188" i="1"/>
  <c r="H1188" i="1"/>
  <c r="I1188" i="1"/>
  <c r="C1189" i="1"/>
  <c r="D1189" i="1"/>
  <c r="E1189" i="1"/>
  <c r="F1189" i="1"/>
  <c r="G1189" i="1"/>
  <c r="H1189" i="1"/>
  <c r="I1189" i="1"/>
  <c r="C1190" i="1"/>
  <c r="D1190" i="1"/>
  <c r="E1190" i="1"/>
  <c r="F1190" i="1"/>
  <c r="G1190" i="1"/>
  <c r="H1190" i="1"/>
  <c r="I1190" i="1"/>
  <c r="C1191" i="1"/>
  <c r="D1191" i="1"/>
  <c r="E1191" i="1"/>
  <c r="F1191" i="1"/>
  <c r="G1191" i="1"/>
  <c r="H1191" i="1"/>
  <c r="I1191" i="1"/>
  <c r="C1192" i="1"/>
  <c r="D1192" i="1"/>
  <c r="E1192" i="1"/>
  <c r="F1192" i="1"/>
  <c r="G1192" i="1"/>
  <c r="H1192" i="1"/>
  <c r="I1192" i="1"/>
  <c r="C1193" i="1"/>
  <c r="D1193" i="1"/>
  <c r="E1193" i="1"/>
  <c r="F1193" i="1"/>
  <c r="G1193" i="1"/>
  <c r="H1193" i="1"/>
  <c r="I1193" i="1"/>
  <c r="C1264" i="1"/>
  <c r="D1264" i="1"/>
  <c r="E1264" i="1"/>
  <c r="F1264" i="1"/>
  <c r="G1264" i="1"/>
  <c r="H1264" i="1"/>
  <c r="I1264" i="1"/>
  <c r="C1265" i="1"/>
  <c r="D1265" i="1"/>
  <c r="E1265" i="1"/>
  <c r="F1265" i="1"/>
  <c r="G1265" i="1"/>
  <c r="H1265" i="1"/>
  <c r="I1265" i="1"/>
  <c r="C1266" i="1"/>
  <c r="D1266" i="1"/>
  <c r="E1266" i="1"/>
  <c r="F1266" i="1"/>
  <c r="G1266" i="1"/>
  <c r="H1266" i="1"/>
  <c r="I1266" i="1"/>
  <c r="C1267" i="1"/>
  <c r="D1267" i="1"/>
  <c r="E1267" i="1"/>
  <c r="F1267" i="1"/>
  <c r="G1267" i="1"/>
  <c r="H1267" i="1"/>
  <c r="I1267" i="1"/>
  <c r="C1268" i="1"/>
  <c r="D1268" i="1"/>
  <c r="E1268" i="1"/>
  <c r="F1268" i="1"/>
  <c r="G1268" i="1"/>
  <c r="H1268" i="1"/>
  <c r="I1268" i="1"/>
  <c r="C1269" i="1"/>
  <c r="D1269" i="1"/>
  <c r="E1269" i="1"/>
  <c r="F1269" i="1"/>
  <c r="G1269" i="1"/>
  <c r="H1269" i="1"/>
  <c r="I1269" i="1"/>
  <c r="C1270" i="1"/>
  <c r="D1270" i="1"/>
  <c r="E1270" i="1"/>
  <c r="F1270" i="1"/>
  <c r="G1270" i="1"/>
  <c r="H1270" i="1"/>
  <c r="I1270" i="1"/>
  <c r="C1271" i="1"/>
  <c r="D1271" i="1"/>
  <c r="E1271" i="1"/>
  <c r="F1271" i="1"/>
  <c r="G1271" i="1"/>
  <c r="H1271" i="1"/>
  <c r="I1271" i="1"/>
  <c r="C1272" i="1"/>
  <c r="D1272" i="1"/>
  <c r="E1272" i="1"/>
  <c r="F1272" i="1"/>
  <c r="G1272" i="1"/>
  <c r="H1272" i="1"/>
  <c r="I1272" i="1"/>
  <c r="C1273" i="1"/>
  <c r="D1273" i="1"/>
  <c r="E1273" i="1"/>
  <c r="F1273" i="1"/>
  <c r="G1273" i="1"/>
  <c r="H1273" i="1"/>
  <c r="I1273" i="1"/>
  <c r="C1274" i="1"/>
  <c r="D1274" i="1"/>
  <c r="E1274" i="1"/>
  <c r="F1274" i="1"/>
  <c r="G1274" i="1"/>
  <c r="H1274" i="1"/>
  <c r="I1274" i="1"/>
  <c r="C1275" i="1"/>
  <c r="D1275" i="1"/>
  <c r="E1275" i="1"/>
  <c r="F1275" i="1"/>
  <c r="G1275" i="1"/>
  <c r="H1275" i="1"/>
  <c r="I1275" i="1"/>
  <c r="C1276" i="1"/>
  <c r="D1276" i="1"/>
  <c r="E1276" i="1"/>
  <c r="F1276" i="1"/>
  <c r="G1276" i="1"/>
  <c r="H1276" i="1"/>
  <c r="I1276" i="1"/>
  <c r="C1277" i="1"/>
  <c r="D1277" i="1"/>
  <c r="E1277" i="1"/>
  <c r="F1277" i="1"/>
  <c r="G1277" i="1"/>
  <c r="H1277" i="1"/>
  <c r="I1277" i="1"/>
  <c r="C1278" i="1"/>
  <c r="D1278" i="1"/>
  <c r="E1278" i="1"/>
  <c r="F1278" i="1"/>
  <c r="G1278" i="1"/>
  <c r="H1278" i="1"/>
  <c r="I1278" i="1"/>
  <c r="C1279" i="1"/>
  <c r="D1279" i="1"/>
  <c r="E1279" i="1"/>
  <c r="F1279" i="1"/>
  <c r="G1279" i="1"/>
  <c r="H1279" i="1"/>
  <c r="I1279" i="1"/>
  <c r="C1280" i="1"/>
  <c r="D1280" i="1"/>
  <c r="E1280" i="1"/>
  <c r="F1280" i="1"/>
  <c r="G1280" i="1"/>
  <c r="H1280" i="1"/>
  <c r="I1280" i="1"/>
  <c r="C1281" i="1"/>
  <c r="D1281" i="1"/>
  <c r="E1281" i="1"/>
  <c r="F1281" i="1"/>
  <c r="G1281" i="1"/>
  <c r="H1281" i="1"/>
  <c r="I1281" i="1"/>
  <c r="C1282" i="1"/>
  <c r="D1282" i="1"/>
  <c r="E1282" i="1"/>
  <c r="F1282" i="1"/>
  <c r="G1282" i="1"/>
  <c r="H1282" i="1"/>
  <c r="I1282" i="1"/>
  <c r="C1283" i="1"/>
  <c r="D1283" i="1"/>
  <c r="E1283" i="1"/>
  <c r="F1283" i="1"/>
  <c r="G1283" i="1"/>
  <c r="H1283" i="1"/>
  <c r="I1283" i="1"/>
  <c r="C1284" i="1"/>
  <c r="D1284" i="1"/>
  <c r="E1284" i="1"/>
  <c r="F1284" i="1"/>
  <c r="G1284" i="1"/>
  <c r="H1284" i="1"/>
  <c r="I1284" i="1"/>
  <c r="C1285" i="1"/>
  <c r="D1285" i="1"/>
  <c r="E1285" i="1"/>
  <c r="F1285" i="1"/>
  <c r="G1285" i="1"/>
  <c r="H1285" i="1"/>
  <c r="I1285" i="1"/>
  <c r="C1387" i="1"/>
  <c r="D1387" i="1"/>
  <c r="E1387" i="1"/>
  <c r="F1387" i="1"/>
  <c r="G1387" i="1"/>
  <c r="H1387" i="1"/>
  <c r="I1387" i="1"/>
  <c r="C1380" i="1"/>
  <c r="D1380" i="1"/>
  <c r="E1380" i="1"/>
  <c r="F1380" i="1"/>
  <c r="G1380" i="1"/>
  <c r="H1380" i="1"/>
  <c r="I1380" i="1"/>
  <c r="C1383" i="1"/>
  <c r="D1383" i="1"/>
  <c r="E1383" i="1"/>
  <c r="F1383" i="1"/>
  <c r="G1383" i="1"/>
  <c r="H1383" i="1"/>
  <c r="I1383" i="1"/>
  <c r="C1384" i="1"/>
  <c r="D1384" i="1"/>
  <c r="E1384" i="1"/>
  <c r="F1384" i="1"/>
  <c r="G1384" i="1"/>
  <c r="H1384" i="1"/>
  <c r="I1384" i="1"/>
  <c r="C1286" i="1"/>
  <c r="D1286" i="1"/>
  <c r="E1286" i="1"/>
  <c r="F1286" i="1"/>
  <c r="G1286" i="1"/>
  <c r="H1286" i="1"/>
  <c r="I1286" i="1"/>
  <c r="C1287" i="1"/>
  <c r="D1287" i="1"/>
  <c r="E1287" i="1"/>
  <c r="F1287" i="1"/>
  <c r="G1287" i="1"/>
  <c r="H1287" i="1"/>
  <c r="I1287" i="1"/>
  <c r="C1288" i="1"/>
  <c r="D1288" i="1"/>
  <c r="E1288" i="1"/>
  <c r="F1288" i="1"/>
  <c r="G1288" i="1"/>
  <c r="H1288" i="1"/>
  <c r="I1288" i="1"/>
  <c r="C1289" i="1"/>
  <c r="D1289" i="1"/>
  <c r="E1289" i="1"/>
  <c r="F1289" i="1"/>
  <c r="G1289" i="1"/>
  <c r="H1289" i="1"/>
  <c r="I1289" i="1"/>
  <c r="C1290" i="1"/>
  <c r="D1290" i="1"/>
  <c r="E1290" i="1"/>
  <c r="F1290" i="1"/>
  <c r="G1290" i="1"/>
  <c r="H1290" i="1"/>
  <c r="I1290" i="1"/>
  <c r="C1291" i="1"/>
  <c r="D1291" i="1"/>
  <c r="E1291" i="1"/>
  <c r="F1291" i="1"/>
  <c r="G1291" i="1"/>
  <c r="H1291" i="1"/>
  <c r="I1291" i="1"/>
  <c r="C1292" i="1"/>
  <c r="D1292" i="1"/>
  <c r="E1292" i="1"/>
  <c r="F1292" i="1"/>
  <c r="G1292" i="1"/>
  <c r="H1292" i="1"/>
  <c r="I1292" i="1"/>
  <c r="C1293" i="1"/>
  <c r="D1293" i="1"/>
  <c r="E1293" i="1"/>
  <c r="F1293" i="1"/>
  <c r="G1293" i="1"/>
  <c r="H1293" i="1"/>
  <c r="I1293" i="1"/>
  <c r="C1294" i="1"/>
  <c r="D1294" i="1"/>
  <c r="E1294" i="1"/>
  <c r="F1294" i="1"/>
  <c r="G1294" i="1"/>
  <c r="H1294" i="1"/>
  <c r="I1294" i="1"/>
  <c r="C1295" i="1"/>
  <c r="D1295" i="1"/>
  <c r="E1295" i="1"/>
  <c r="F1295" i="1"/>
  <c r="G1295" i="1"/>
  <c r="H1295" i="1"/>
  <c r="I1295" i="1"/>
  <c r="C1296" i="1"/>
  <c r="D1296" i="1"/>
  <c r="E1296" i="1"/>
  <c r="F1296" i="1"/>
  <c r="G1296" i="1"/>
  <c r="H1296" i="1"/>
  <c r="I1296" i="1"/>
  <c r="C1297" i="1"/>
  <c r="D1297" i="1"/>
  <c r="E1297" i="1"/>
  <c r="F1297" i="1"/>
  <c r="G1297" i="1"/>
  <c r="H1297" i="1"/>
  <c r="I1297" i="1"/>
  <c r="C1298" i="1"/>
  <c r="D1298" i="1"/>
  <c r="E1298" i="1"/>
  <c r="F1298" i="1"/>
  <c r="G1298" i="1"/>
  <c r="H1298" i="1"/>
  <c r="I1298" i="1"/>
  <c r="C1299" i="1"/>
  <c r="D1299" i="1"/>
  <c r="E1299" i="1"/>
  <c r="F1299" i="1"/>
  <c r="G1299" i="1"/>
  <c r="H1299" i="1"/>
  <c r="I1299" i="1"/>
  <c r="C1300" i="1"/>
  <c r="D1300" i="1"/>
  <c r="E1300" i="1"/>
  <c r="F1300" i="1"/>
  <c r="G1300" i="1"/>
  <c r="H1300" i="1"/>
  <c r="I1300" i="1"/>
  <c r="C1301" i="1"/>
  <c r="D1301" i="1"/>
  <c r="E1301" i="1"/>
  <c r="F1301" i="1"/>
  <c r="G1301" i="1"/>
  <c r="H1301" i="1"/>
  <c r="I1301" i="1"/>
  <c r="C1302" i="1"/>
  <c r="D1302" i="1"/>
  <c r="E1302" i="1"/>
  <c r="F1302" i="1"/>
  <c r="G1302" i="1"/>
  <c r="H1302" i="1"/>
  <c r="I1302" i="1"/>
  <c r="C1303" i="1"/>
  <c r="D1303" i="1"/>
  <c r="E1303" i="1"/>
  <c r="F1303" i="1"/>
  <c r="G1303" i="1"/>
  <c r="H1303" i="1"/>
  <c r="I1303" i="1"/>
  <c r="C1304" i="1"/>
  <c r="D1304" i="1"/>
  <c r="E1304" i="1"/>
  <c r="F1304" i="1"/>
  <c r="G1304" i="1"/>
  <c r="H1304" i="1"/>
  <c r="I1304" i="1"/>
  <c r="C1305" i="1"/>
  <c r="D1305" i="1"/>
  <c r="E1305" i="1"/>
  <c r="F1305" i="1"/>
  <c r="G1305" i="1"/>
  <c r="H1305" i="1"/>
  <c r="I1305" i="1"/>
  <c r="C1306" i="1"/>
  <c r="D1306" i="1"/>
  <c r="E1306" i="1"/>
  <c r="F1306" i="1"/>
  <c r="G1306" i="1"/>
  <c r="H1306" i="1"/>
  <c r="I1306" i="1"/>
  <c r="C1307" i="1"/>
  <c r="D1307" i="1"/>
  <c r="E1307" i="1"/>
  <c r="F1307" i="1"/>
  <c r="G1307" i="1"/>
  <c r="H1307" i="1"/>
  <c r="I1307" i="1"/>
  <c r="C1308" i="1"/>
  <c r="D1308" i="1"/>
  <c r="E1308" i="1"/>
  <c r="F1308" i="1"/>
  <c r="G1308" i="1"/>
  <c r="H1308" i="1"/>
  <c r="I1308" i="1"/>
  <c r="C1309" i="1"/>
  <c r="D1309" i="1"/>
  <c r="E1309" i="1"/>
  <c r="F1309" i="1"/>
  <c r="G1309" i="1"/>
  <c r="H1309" i="1"/>
  <c r="I1309" i="1"/>
  <c r="C1310" i="1"/>
  <c r="D1310" i="1"/>
  <c r="E1310" i="1"/>
  <c r="F1310" i="1"/>
  <c r="G1310" i="1"/>
  <c r="H1310" i="1"/>
  <c r="I1310" i="1"/>
  <c r="C1311" i="1"/>
  <c r="D1311" i="1"/>
  <c r="E1311" i="1"/>
  <c r="F1311" i="1"/>
  <c r="G1311" i="1"/>
  <c r="H1311" i="1"/>
  <c r="I1311" i="1"/>
  <c r="C1312" i="1"/>
  <c r="D1312" i="1"/>
  <c r="E1312" i="1"/>
  <c r="F1312" i="1"/>
  <c r="G1312" i="1"/>
  <c r="H1312" i="1"/>
  <c r="I1312" i="1"/>
  <c r="C1313" i="1"/>
  <c r="D1313" i="1"/>
  <c r="E1313" i="1"/>
  <c r="F1313" i="1"/>
  <c r="G1313" i="1"/>
  <c r="H1313" i="1"/>
  <c r="I1313" i="1"/>
  <c r="C1314" i="1"/>
  <c r="D1314" i="1"/>
  <c r="E1314" i="1"/>
  <c r="F1314" i="1"/>
  <c r="G1314" i="1"/>
  <c r="H1314" i="1"/>
  <c r="I1314" i="1"/>
  <c r="C1315" i="1"/>
  <c r="D1315" i="1"/>
  <c r="E1315" i="1"/>
  <c r="F1315" i="1"/>
  <c r="G1315" i="1"/>
  <c r="H1315" i="1"/>
  <c r="I1315" i="1"/>
  <c r="C1316" i="1"/>
  <c r="D1316" i="1"/>
  <c r="E1316" i="1"/>
  <c r="F1316" i="1"/>
  <c r="G1316" i="1"/>
  <c r="H1316" i="1"/>
  <c r="I1316" i="1"/>
  <c r="C1317" i="1"/>
  <c r="D1317" i="1"/>
  <c r="E1317" i="1"/>
  <c r="F1317" i="1"/>
  <c r="G1317" i="1"/>
  <c r="H1317" i="1"/>
  <c r="I1317" i="1"/>
  <c r="C1318" i="1"/>
  <c r="D1318" i="1"/>
  <c r="E1318" i="1"/>
  <c r="F1318" i="1"/>
  <c r="G1318" i="1"/>
  <c r="H1318" i="1"/>
  <c r="I1318" i="1"/>
  <c r="C1319" i="1"/>
  <c r="D1319" i="1"/>
  <c r="E1319" i="1"/>
  <c r="F1319" i="1"/>
  <c r="G1319" i="1"/>
  <c r="H1319" i="1"/>
  <c r="I1319" i="1"/>
  <c r="C1320" i="1"/>
  <c r="D1320" i="1"/>
  <c r="E1320" i="1"/>
  <c r="F1320" i="1"/>
  <c r="G1320" i="1"/>
  <c r="H1320" i="1"/>
  <c r="I1320" i="1"/>
  <c r="C1321" i="1"/>
  <c r="D1321" i="1"/>
  <c r="E1321" i="1"/>
  <c r="F1321" i="1"/>
  <c r="G1321" i="1"/>
  <c r="H1321" i="1"/>
  <c r="I1321" i="1"/>
  <c r="C1681" i="1"/>
  <c r="D1681" i="1"/>
  <c r="E1681" i="1"/>
  <c r="F1681" i="1"/>
  <c r="G1681" i="1"/>
  <c r="H1681" i="1"/>
  <c r="I1681" i="1"/>
  <c r="C1682" i="1"/>
  <c r="D1682" i="1"/>
  <c r="E1682" i="1"/>
  <c r="F1682" i="1"/>
  <c r="G1682" i="1"/>
  <c r="H1682" i="1"/>
  <c r="I1682" i="1"/>
  <c r="C1322" i="1"/>
  <c r="D1322" i="1"/>
  <c r="E1322" i="1"/>
  <c r="F1322" i="1"/>
  <c r="G1322" i="1"/>
  <c r="H1322" i="1"/>
  <c r="I1322" i="1"/>
  <c r="C1375" i="1"/>
  <c r="D1375" i="1"/>
  <c r="E1375" i="1"/>
  <c r="F1375" i="1"/>
  <c r="G1375" i="1"/>
  <c r="H1375" i="1"/>
  <c r="I1375" i="1"/>
  <c r="C1385" i="1"/>
  <c r="D1385" i="1"/>
  <c r="E1385" i="1"/>
  <c r="F1385" i="1"/>
  <c r="G1385" i="1"/>
  <c r="H1385" i="1"/>
  <c r="I1385" i="1"/>
  <c r="C1377" i="1"/>
  <c r="D1377" i="1"/>
  <c r="E1377" i="1"/>
  <c r="F1377" i="1"/>
  <c r="G1377" i="1"/>
  <c r="H1377" i="1"/>
  <c r="I1377" i="1"/>
  <c r="C1379" i="1"/>
  <c r="D1379" i="1"/>
  <c r="E1379" i="1"/>
  <c r="F1379" i="1"/>
  <c r="G1379" i="1"/>
  <c r="H1379" i="1"/>
  <c r="I1379" i="1"/>
  <c r="C1382" i="1"/>
  <c r="D1382" i="1"/>
  <c r="E1382" i="1"/>
  <c r="F1382" i="1"/>
  <c r="G1382" i="1"/>
  <c r="H1382" i="1"/>
  <c r="I1382" i="1"/>
  <c r="C1323" i="1"/>
  <c r="D1323" i="1"/>
  <c r="E1323" i="1"/>
  <c r="F1323" i="1"/>
  <c r="G1323" i="1"/>
  <c r="H1323" i="1"/>
  <c r="I1323" i="1"/>
  <c r="C1324" i="1"/>
  <c r="D1324" i="1"/>
  <c r="E1324" i="1"/>
  <c r="F1324" i="1"/>
  <c r="G1324" i="1"/>
  <c r="H1324" i="1"/>
  <c r="I1324" i="1"/>
  <c r="C1325" i="1"/>
  <c r="D1325" i="1"/>
  <c r="E1325" i="1"/>
  <c r="F1325" i="1"/>
  <c r="G1325" i="1"/>
  <c r="H1325" i="1"/>
  <c r="I1325" i="1"/>
  <c r="C1326" i="1"/>
  <c r="D1326" i="1"/>
  <c r="E1326" i="1"/>
  <c r="F1326" i="1"/>
  <c r="G1326" i="1"/>
  <c r="H1326" i="1"/>
  <c r="I1326" i="1"/>
  <c r="C1327" i="1"/>
  <c r="D1327" i="1"/>
  <c r="E1327" i="1"/>
  <c r="F1327" i="1"/>
  <c r="G1327" i="1"/>
  <c r="H1327" i="1"/>
  <c r="I1327" i="1"/>
  <c r="C1328" i="1"/>
  <c r="D1328" i="1"/>
  <c r="E1328" i="1"/>
  <c r="F1328" i="1"/>
  <c r="G1328" i="1"/>
  <c r="H1328" i="1"/>
  <c r="I1328" i="1"/>
  <c r="C1389" i="1"/>
  <c r="D1389" i="1"/>
  <c r="E1389" i="1"/>
  <c r="F1389" i="1"/>
  <c r="G1389" i="1"/>
  <c r="H1389" i="1"/>
  <c r="I1389" i="1"/>
  <c r="C1390" i="1"/>
  <c r="D1390" i="1"/>
  <c r="E1390" i="1"/>
  <c r="F1390" i="1"/>
  <c r="G1390" i="1"/>
  <c r="H1390" i="1"/>
  <c r="I1390" i="1"/>
  <c r="C1391" i="1"/>
  <c r="D1391" i="1"/>
  <c r="E1391" i="1"/>
  <c r="F1391" i="1"/>
  <c r="G1391" i="1"/>
  <c r="H1391" i="1"/>
  <c r="I1391" i="1"/>
  <c r="C1241" i="1"/>
  <c r="D1241" i="1"/>
  <c r="E1241" i="1"/>
  <c r="F1241" i="1"/>
  <c r="G1241" i="1"/>
  <c r="H1241" i="1"/>
  <c r="I1241" i="1"/>
  <c r="C1517" i="1"/>
  <c r="D1517" i="1"/>
  <c r="E1517" i="1"/>
  <c r="F1517" i="1"/>
  <c r="G1517" i="1"/>
  <c r="H1517" i="1"/>
  <c r="I1517" i="1"/>
  <c r="C1392" i="1"/>
  <c r="D1392" i="1"/>
  <c r="E1392" i="1"/>
  <c r="F1392" i="1"/>
  <c r="G1392" i="1"/>
  <c r="H1392" i="1"/>
  <c r="I1392" i="1"/>
  <c r="C1393" i="1"/>
  <c r="D1393" i="1"/>
  <c r="E1393" i="1"/>
  <c r="F1393" i="1"/>
  <c r="G1393" i="1"/>
  <c r="H1393" i="1"/>
  <c r="I1393" i="1"/>
  <c r="C1394" i="1"/>
  <c r="D1394" i="1"/>
  <c r="E1394" i="1"/>
  <c r="F1394" i="1"/>
  <c r="G1394" i="1"/>
  <c r="H1394" i="1"/>
  <c r="I1394" i="1"/>
  <c r="C1395" i="1"/>
  <c r="D1395" i="1"/>
  <c r="E1395" i="1"/>
  <c r="F1395" i="1"/>
  <c r="G1395" i="1"/>
  <c r="H1395" i="1"/>
  <c r="I1395" i="1"/>
  <c r="C1396" i="1"/>
  <c r="D1396" i="1"/>
  <c r="E1396" i="1"/>
  <c r="F1396" i="1"/>
  <c r="G1396" i="1"/>
  <c r="H1396" i="1"/>
  <c r="I1396" i="1"/>
  <c r="C1397" i="1"/>
  <c r="D1397" i="1"/>
  <c r="E1397" i="1"/>
  <c r="F1397" i="1"/>
  <c r="G1397" i="1"/>
  <c r="H1397" i="1"/>
  <c r="I1397" i="1"/>
  <c r="C1398" i="1"/>
  <c r="D1398" i="1"/>
  <c r="E1398" i="1"/>
  <c r="F1398" i="1"/>
  <c r="G1398" i="1"/>
  <c r="H1398" i="1"/>
  <c r="I1398" i="1"/>
  <c r="C1399" i="1"/>
  <c r="D1399" i="1"/>
  <c r="E1399" i="1"/>
  <c r="F1399" i="1"/>
  <c r="G1399" i="1"/>
  <c r="H1399" i="1"/>
  <c r="I1399" i="1"/>
  <c r="C1400" i="1"/>
  <c r="D1400" i="1"/>
  <c r="E1400" i="1"/>
  <c r="F1400" i="1"/>
  <c r="G1400" i="1"/>
  <c r="H1400" i="1"/>
  <c r="I1400" i="1"/>
  <c r="C1401" i="1"/>
  <c r="D1401" i="1"/>
  <c r="E1401" i="1"/>
  <c r="F1401" i="1"/>
  <c r="G1401" i="1"/>
  <c r="H1401" i="1"/>
  <c r="I1401" i="1"/>
  <c r="C1402" i="1"/>
  <c r="D1402" i="1"/>
  <c r="E1402" i="1"/>
  <c r="F1402" i="1"/>
  <c r="G1402" i="1"/>
  <c r="H1402" i="1"/>
  <c r="I1402" i="1"/>
  <c r="C1403" i="1"/>
  <c r="D1403" i="1"/>
  <c r="E1403" i="1"/>
  <c r="F1403" i="1"/>
  <c r="G1403" i="1"/>
  <c r="H1403" i="1"/>
  <c r="I1403" i="1"/>
  <c r="C1404" i="1"/>
  <c r="D1404" i="1"/>
  <c r="E1404" i="1"/>
  <c r="F1404" i="1"/>
  <c r="G1404" i="1"/>
  <c r="H1404" i="1"/>
  <c r="I1404" i="1"/>
  <c r="C1405" i="1"/>
  <c r="D1405" i="1"/>
  <c r="E1405" i="1"/>
  <c r="F1405" i="1"/>
  <c r="G1405" i="1"/>
  <c r="H1405" i="1"/>
  <c r="I1405" i="1"/>
  <c r="C1406" i="1"/>
  <c r="D1406" i="1"/>
  <c r="E1406" i="1"/>
  <c r="F1406" i="1"/>
  <c r="G1406" i="1"/>
  <c r="H1406" i="1"/>
  <c r="I1406" i="1"/>
  <c r="C1407" i="1"/>
  <c r="D1407" i="1"/>
  <c r="E1407" i="1"/>
  <c r="F1407" i="1"/>
  <c r="G1407" i="1"/>
  <c r="H1407" i="1"/>
  <c r="I1407" i="1"/>
  <c r="C1408" i="1"/>
  <c r="D1408" i="1"/>
  <c r="E1408" i="1"/>
  <c r="F1408" i="1"/>
  <c r="G1408" i="1"/>
  <c r="H1408" i="1"/>
  <c r="I1408" i="1"/>
  <c r="C1409" i="1"/>
  <c r="D1409" i="1"/>
  <c r="E1409" i="1"/>
  <c r="F1409" i="1"/>
  <c r="G1409" i="1"/>
  <c r="H1409" i="1"/>
  <c r="I1409" i="1"/>
  <c r="C1410" i="1"/>
  <c r="D1410" i="1"/>
  <c r="E1410" i="1"/>
  <c r="F1410" i="1"/>
  <c r="G1410" i="1"/>
  <c r="H1410" i="1"/>
  <c r="I1410" i="1"/>
  <c r="C1411" i="1"/>
  <c r="D1411" i="1"/>
  <c r="E1411" i="1"/>
  <c r="F1411" i="1"/>
  <c r="G1411" i="1"/>
  <c r="H1411" i="1"/>
  <c r="I1411" i="1"/>
  <c r="C1412" i="1"/>
  <c r="D1412" i="1"/>
  <c r="E1412" i="1"/>
  <c r="F1412" i="1"/>
  <c r="G1412" i="1"/>
  <c r="H1412" i="1"/>
  <c r="I1412" i="1"/>
  <c r="C1413" i="1"/>
  <c r="D1413" i="1"/>
  <c r="E1413" i="1"/>
  <c r="F1413" i="1"/>
  <c r="G1413" i="1"/>
  <c r="H1413" i="1"/>
  <c r="I1413" i="1"/>
  <c r="C1414" i="1"/>
  <c r="D1414" i="1"/>
  <c r="E1414" i="1"/>
  <c r="F1414" i="1"/>
  <c r="G1414" i="1"/>
  <c r="H1414" i="1"/>
  <c r="I1414" i="1"/>
  <c r="C1415" i="1"/>
  <c r="D1415" i="1"/>
  <c r="E1415" i="1"/>
  <c r="F1415" i="1"/>
  <c r="G1415" i="1"/>
  <c r="H1415" i="1"/>
  <c r="I1415" i="1"/>
  <c r="C1521" i="1"/>
  <c r="D1521" i="1"/>
  <c r="E1521" i="1"/>
  <c r="F1521" i="1"/>
  <c r="G1521" i="1"/>
  <c r="H1521" i="1"/>
  <c r="I1521" i="1"/>
  <c r="C1523" i="1"/>
  <c r="D1523" i="1"/>
  <c r="E1523" i="1"/>
  <c r="F1523" i="1"/>
  <c r="G1523" i="1"/>
  <c r="H1523" i="1"/>
  <c r="I1523" i="1"/>
  <c r="C1526" i="1"/>
  <c r="D1526" i="1"/>
  <c r="E1526" i="1"/>
  <c r="F1526" i="1"/>
  <c r="G1526" i="1"/>
  <c r="H1526" i="1"/>
  <c r="I1526" i="1"/>
  <c r="C1416" i="1"/>
  <c r="D1416" i="1"/>
  <c r="E1416" i="1"/>
  <c r="F1416" i="1"/>
  <c r="G1416" i="1"/>
  <c r="H1416" i="1"/>
  <c r="I1416" i="1"/>
  <c r="C1417" i="1"/>
  <c r="D1417" i="1"/>
  <c r="E1417" i="1"/>
  <c r="F1417" i="1"/>
  <c r="G1417" i="1"/>
  <c r="H1417" i="1"/>
  <c r="I1417" i="1"/>
  <c r="C1418" i="1"/>
  <c r="D1418" i="1"/>
  <c r="E1418" i="1"/>
  <c r="F1418" i="1"/>
  <c r="G1418" i="1"/>
  <c r="H1418" i="1"/>
  <c r="I1418" i="1"/>
  <c r="C1419" i="1"/>
  <c r="D1419" i="1"/>
  <c r="E1419" i="1"/>
  <c r="F1419" i="1"/>
  <c r="G1419" i="1"/>
  <c r="H1419" i="1"/>
  <c r="I1419" i="1"/>
  <c r="C1420" i="1"/>
  <c r="D1420" i="1"/>
  <c r="E1420" i="1"/>
  <c r="F1420" i="1"/>
  <c r="G1420" i="1"/>
  <c r="H1420" i="1"/>
  <c r="I1420" i="1"/>
  <c r="C1421" i="1"/>
  <c r="D1421" i="1"/>
  <c r="E1421" i="1"/>
  <c r="F1421" i="1"/>
  <c r="G1421" i="1"/>
  <c r="H1421" i="1"/>
  <c r="I1421" i="1"/>
  <c r="C1527" i="1"/>
  <c r="D1527" i="1"/>
  <c r="E1527" i="1"/>
  <c r="F1527" i="1"/>
  <c r="G1527" i="1"/>
  <c r="H1527" i="1"/>
  <c r="I1527" i="1"/>
  <c r="C1422" i="1"/>
  <c r="D1422" i="1"/>
  <c r="E1422" i="1"/>
  <c r="F1422" i="1"/>
  <c r="G1422" i="1"/>
  <c r="H1422" i="1"/>
  <c r="I1422" i="1"/>
  <c r="C1423" i="1"/>
  <c r="D1423" i="1"/>
  <c r="E1423" i="1"/>
  <c r="F1423" i="1"/>
  <c r="G1423" i="1"/>
  <c r="H1423" i="1"/>
  <c r="I1423" i="1"/>
  <c r="C1424" i="1"/>
  <c r="D1424" i="1"/>
  <c r="E1424" i="1"/>
  <c r="F1424" i="1"/>
  <c r="G1424" i="1"/>
  <c r="H1424" i="1"/>
  <c r="I1424" i="1"/>
  <c r="C1425" i="1"/>
  <c r="D1425" i="1"/>
  <c r="E1425" i="1"/>
  <c r="F1425" i="1"/>
  <c r="G1425" i="1"/>
  <c r="H1425" i="1"/>
  <c r="I1425" i="1"/>
  <c r="C1426" i="1"/>
  <c r="D1426" i="1"/>
  <c r="E1426" i="1"/>
  <c r="F1426" i="1"/>
  <c r="G1426" i="1"/>
  <c r="H1426" i="1"/>
  <c r="I1426" i="1"/>
  <c r="C1427" i="1"/>
  <c r="D1427" i="1"/>
  <c r="E1427" i="1"/>
  <c r="F1427" i="1"/>
  <c r="G1427" i="1"/>
  <c r="H1427" i="1"/>
  <c r="I1427" i="1"/>
  <c r="C1512" i="1"/>
  <c r="D1512" i="1"/>
  <c r="E1512" i="1"/>
  <c r="F1512" i="1"/>
  <c r="G1512" i="1"/>
  <c r="H1512" i="1"/>
  <c r="I1512" i="1"/>
  <c r="C1428" i="1"/>
  <c r="D1428" i="1"/>
  <c r="E1428" i="1"/>
  <c r="F1428" i="1"/>
  <c r="G1428" i="1"/>
  <c r="H1428" i="1"/>
  <c r="I1428" i="1"/>
  <c r="C1429" i="1"/>
  <c r="D1429" i="1"/>
  <c r="E1429" i="1"/>
  <c r="F1429" i="1"/>
  <c r="G1429" i="1"/>
  <c r="H1429" i="1"/>
  <c r="I1429" i="1"/>
  <c r="C1430" i="1"/>
  <c r="D1430" i="1"/>
  <c r="E1430" i="1"/>
  <c r="F1430" i="1"/>
  <c r="G1430" i="1"/>
  <c r="H1430" i="1"/>
  <c r="I1430" i="1"/>
  <c r="C1431" i="1"/>
  <c r="D1431" i="1"/>
  <c r="E1431" i="1"/>
  <c r="F1431" i="1"/>
  <c r="G1431" i="1"/>
  <c r="H1431" i="1"/>
  <c r="I1431" i="1"/>
  <c r="C1432" i="1"/>
  <c r="D1432" i="1"/>
  <c r="E1432" i="1"/>
  <c r="F1432" i="1"/>
  <c r="G1432" i="1"/>
  <c r="H1432" i="1"/>
  <c r="I1432" i="1"/>
  <c r="C1433" i="1"/>
  <c r="D1433" i="1"/>
  <c r="E1433" i="1"/>
  <c r="F1433" i="1"/>
  <c r="G1433" i="1"/>
  <c r="H1433" i="1"/>
  <c r="I1433" i="1"/>
  <c r="C1434" i="1"/>
  <c r="D1434" i="1"/>
  <c r="E1434" i="1"/>
  <c r="F1434" i="1"/>
  <c r="G1434" i="1"/>
  <c r="H1434" i="1"/>
  <c r="I1434" i="1"/>
  <c r="C1435" i="1"/>
  <c r="D1435" i="1"/>
  <c r="E1435" i="1"/>
  <c r="F1435" i="1"/>
  <c r="G1435" i="1"/>
  <c r="H1435" i="1"/>
  <c r="I1435" i="1"/>
  <c r="C1436" i="1"/>
  <c r="D1436" i="1"/>
  <c r="E1436" i="1"/>
  <c r="F1436" i="1"/>
  <c r="G1436" i="1"/>
  <c r="H1436" i="1"/>
  <c r="I1436" i="1"/>
  <c r="C1437" i="1"/>
  <c r="D1437" i="1"/>
  <c r="E1437" i="1"/>
  <c r="F1437" i="1"/>
  <c r="G1437" i="1"/>
  <c r="H1437" i="1"/>
  <c r="I1437" i="1"/>
  <c r="C1438" i="1"/>
  <c r="D1438" i="1"/>
  <c r="E1438" i="1"/>
  <c r="F1438" i="1"/>
  <c r="G1438" i="1"/>
  <c r="H1438" i="1"/>
  <c r="I1438" i="1"/>
  <c r="C1439" i="1"/>
  <c r="D1439" i="1"/>
  <c r="E1439" i="1"/>
  <c r="F1439" i="1"/>
  <c r="G1439" i="1"/>
  <c r="H1439" i="1"/>
  <c r="I1439" i="1"/>
  <c r="C1440" i="1"/>
  <c r="D1440" i="1"/>
  <c r="E1440" i="1"/>
  <c r="F1440" i="1"/>
  <c r="G1440" i="1"/>
  <c r="H1440" i="1"/>
  <c r="I1440" i="1"/>
  <c r="C1441" i="1"/>
  <c r="D1441" i="1"/>
  <c r="E1441" i="1"/>
  <c r="F1441" i="1"/>
  <c r="G1441" i="1"/>
  <c r="H1441" i="1"/>
  <c r="I1441" i="1"/>
  <c r="C1442" i="1"/>
  <c r="D1442" i="1"/>
  <c r="E1442" i="1"/>
  <c r="F1442" i="1"/>
  <c r="G1442" i="1"/>
  <c r="H1442" i="1"/>
  <c r="I1442" i="1"/>
  <c r="C1443" i="1"/>
  <c r="D1443" i="1"/>
  <c r="E1443" i="1"/>
  <c r="F1443" i="1"/>
  <c r="G1443" i="1"/>
  <c r="H1443" i="1"/>
  <c r="I1443" i="1"/>
  <c r="C1444" i="1"/>
  <c r="D1444" i="1"/>
  <c r="E1444" i="1"/>
  <c r="F1444" i="1"/>
  <c r="G1444" i="1"/>
  <c r="H1444" i="1"/>
  <c r="I1444" i="1"/>
  <c r="C1445" i="1"/>
  <c r="D1445" i="1"/>
  <c r="E1445" i="1"/>
  <c r="F1445" i="1"/>
  <c r="G1445" i="1"/>
  <c r="H1445" i="1"/>
  <c r="I1445" i="1"/>
  <c r="C1446" i="1"/>
  <c r="D1446" i="1"/>
  <c r="E1446" i="1"/>
  <c r="F1446" i="1"/>
  <c r="G1446" i="1"/>
  <c r="H1446" i="1"/>
  <c r="I1446" i="1"/>
  <c r="C1194" i="1"/>
  <c r="D1194" i="1"/>
  <c r="E1194" i="1"/>
  <c r="F1194" i="1"/>
  <c r="G1194" i="1"/>
  <c r="H1194" i="1"/>
  <c r="I1194" i="1"/>
  <c r="C1447" i="1"/>
  <c r="D1447" i="1"/>
  <c r="E1447" i="1"/>
  <c r="F1447" i="1"/>
  <c r="G1447" i="1"/>
  <c r="H1447" i="1"/>
  <c r="I1447" i="1"/>
  <c r="C1448" i="1"/>
  <c r="D1448" i="1"/>
  <c r="E1448" i="1"/>
  <c r="F1448" i="1"/>
  <c r="G1448" i="1"/>
  <c r="H1448" i="1"/>
  <c r="I1448" i="1"/>
  <c r="C1449" i="1"/>
  <c r="D1449" i="1"/>
  <c r="E1449" i="1"/>
  <c r="F1449" i="1"/>
  <c r="G1449" i="1"/>
  <c r="H1449" i="1"/>
  <c r="I1449" i="1"/>
  <c r="C1450" i="1"/>
  <c r="D1450" i="1"/>
  <c r="E1450" i="1"/>
  <c r="F1450" i="1"/>
  <c r="G1450" i="1"/>
  <c r="H1450" i="1"/>
  <c r="I1450" i="1"/>
  <c r="C1451" i="1"/>
  <c r="D1451" i="1"/>
  <c r="E1451" i="1"/>
  <c r="F1451" i="1"/>
  <c r="G1451" i="1"/>
  <c r="H1451" i="1"/>
  <c r="I1451" i="1"/>
  <c r="C1452" i="1"/>
  <c r="D1452" i="1"/>
  <c r="E1452" i="1"/>
  <c r="F1452" i="1"/>
  <c r="G1452" i="1"/>
  <c r="H1452" i="1"/>
  <c r="I1452" i="1"/>
  <c r="C1513" i="1"/>
  <c r="D1513" i="1"/>
  <c r="E1513" i="1"/>
  <c r="F1513" i="1"/>
  <c r="G1513" i="1"/>
  <c r="H1513" i="1"/>
  <c r="I1513" i="1"/>
  <c r="C1514" i="1"/>
  <c r="D1514" i="1"/>
  <c r="E1514" i="1"/>
  <c r="F1514" i="1"/>
  <c r="G1514" i="1"/>
  <c r="H1514" i="1"/>
  <c r="I1514" i="1"/>
  <c r="C1515" i="1"/>
  <c r="D1515" i="1"/>
  <c r="E1515" i="1"/>
  <c r="F1515" i="1"/>
  <c r="G1515" i="1"/>
  <c r="H1515" i="1"/>
  <c r="I1515" i="1"/>
  <c r="C1516" i="1"/>
  <c r="D1516" i="1"/>
  <c r="E1516" i="1"/>
  <c r="F1516" i="1"/>
  <c r="G1516" i="1"/>
  <c r="H1516" i="1"/>
  <c r="I1516" i="1"/>
  <c r="C1511" i="1"/>
  <c r="D1511" i="1"/>
  <c r="E1511" i="1"/>
  <c r="F1511" i="1"/>
  <c r="G1511" i="1"/>
  <c r="H1511" i="1"/>
  <c r="I1511" i="1"/>
  <c r="C1518" i="1"/>
  <c r="D1518" i="1"/>
  <c r="E1518" i="1"/>
  <c r="F1518" i="1"/>
  <c r="G1518" i="1"/>
  <c r="H1518" i="1"/>
  <c r="I1518" i="1"/>
  <c r="C1522" i="1"/>
  <c r="D1522" i="1"/>
  <c r="E1522" i="1"/>
  <c r="F1522" i="1"/>
  <c r="G1522" i="1"/>
  <c r="H1522" i="1"/>
  <c r="I1522" i="1"/>
  <c r="C1453" i="1"/>
  <c r="D1453" i="1"/>
  <c r="E1453" i="1"/>
  <c r="F1453" i="1"/>
  <c r="G1453" i="1"/>
  <c r="H1453" i="1"/>
  <c r="I1453" i="1"/>
  <c r="C1454" i="1"/>
  <c r="D1454" i="1"/>
  <c r="E1454" i="1"/>
  <c r="F1454" i="1"/>
  <c r="G1454" i="1"/>
  <c r="H1454" i="1"/>
  <c r="I1454" i="1"/>
  <c r="C1455" i="1"/>
  <c r="D1455" i="1"/>
  <c r="E1455" i="1"/>
  <c r="F1455" i="1"/>
  <c r="G1455" i="1"/>
  <c r="H1455" i="1"/>
  <c r="I1455" i="1"/>
  <c r="C1456" i="1"/>
  <c r="D1456" i="1"/>
  <c r="E1456" i="1"/>
  <c r="F1456" i="1"/>
  <c r="G1456" i="1"/>
  <c r="H1456" i="1"/>
  <c r="I1456" i="1"/>
  <c r="C1457" i="1"/>
  <c r="D1457" i="1"/>
  <c r="E1457" i="1"/>
  <c r="F1457" i="1"/>
  <c r="G1457" i="1"/>
  <c r="H1457" i="1"/>
  <c r="I1457" i="1"/>
  <c r="C1458" i="1"/>
  <c r="D1458" i="1"/>
  <c r="E1458" i="1"/>
  <c r="F1458" i="1"/>
  <c r="G1458" i="1"/>
  <c r="H1458" i="1"/>
  <c r="I1458" i="1"/>
  <c r="C1459" i="1"/>
  <c r="D1459" i="1"/>
  <c r="E1459" i="1"/>
  <c r="F1459" i="1"/>
  <c r="G1459" i="1"/>
  <c r="H1459" i="1"/>
  <c r="I1459" i="1"/>
  <c r="C1460" i="1"/>
  <c r="D1460" i="1"/>
  <c r="E1460" i="1"/>
  <c r="F1460" i="1"/>
  <c r="G1460" i="1"/>
  <c r="H1460" i="1"/>
  <c r="I1460" i="1"/>
  <c r="C1461" i="1"/>
  <c r="D1461" i="1"/>
  <c r="E1461" i="1"/>
  <c r="F1461" i="1"/>
  <c r="G1461" i="1"/>
  <c r="H1461" i="1"/>
  <c r="I1461" i="1"/>
  <c r="C1531" i="1"/>
  <c r="D1531" i="1"/>
  <c r="E1531" i="1"/>
  <c r="F1531" i="1"/>
  <c r="G1531" i="1"/>
  <c r="H1531" i="1"/>
  <c r="I1531" i="1"/>
  <c r="C1532" i="1"/>
  <c r="D1532" i="1"/>
  <c r="E1532" i="1"/>
  <c r="F1532" i="1"/>
  <c r="G1532" i="1"/>
  <c r="H1532" i="1"/>
  <c r="I1532" i="1"/>
  <c r="C1533" i="1"/>
  <c r="D1533" i="1"/>
  <c r="E1533" i="1"/>
  <c r="F1533" i="1"/>
  <c r="G1533" i="1"/>
  <c r="H1533" i="1"/>
  <c r="I1533" i="1"/>
  <c r="C1534" i="1"/>
  <c r="D1534" i="1"/>
  <c r="E1534" i="1"/>
  <c r="F1534" i="1"/>
  <c r="G1534" i="1"/>
  <c r="H1534" i="1"/>
  <c r="I1534" i="1"/>
  <c r="C1535" i="1"/>
  <c r="D1535" i="1"/>
  <c r="E1535" i="1"/>
  <c r="F1535" i="1"/>
  <c r="G1535" i="1"/>
  <c r="H1535" i="1"/>
  <c r="I1535" i="1"/>
  <c r="C1536" i="1"/>
  <c r="D1536" i="1"/>
  <c r="E1536" i="1"/>
  <c r="F1536" i="1"/>
  <c r="G1536" i="1"/>
  <c r="H1536" i="1"/>
  <c r="I1536" i="1"/>
  <c r="C1537" i="1"/>
  <c r="D1537" i="1"/>
  <c r="E1537" i="1"/>
  <c r="F1537" i="1"/>
  <c r="G1537" i="1"/>
  <c r="H1537" i="1"/>
  <c r="I1537" i="1"/>
  <c r="C1538" i="1"/>
  <c r="D1538" i="1"/>
  <c r="E1538" i="1"/>
  <c r="F1538" i="1"/>
  <c r="G1538" i="1"/>
  <c r="H1538" i="1"/>
  <c r="I1538" i="1"/>
  <c r="C1539" i="1"/>
  <c r="D1539" i="1"/>
  <c r="E1539" i="1"/>
  <c r="F1539" i="1"/>
  <c r="G1539" i="1"/>
  <c r="H1539" i="1"/>
  <c r="I1539" i="1"/>
  <c r="C1540" i="1"/>
  <c r="D1540" i="1"/>
  <c r="E1540" i="1"/>
  <c r="F1540" i="1"/>
  <c r="G1540" i="1"/>
  <c r="H1540" i="1"/>
  <c r="I1540" i="1"/>
  <c r="C1541" i="1"/>
  <c r="D1541" i="1"/>
  <c r="E1541" i="1"/>
  <c r="F1541" i="1"/>
  <c r="G1541" i="1"/>
  <c r="H1541" i="1"/>
  <c r="I1541" i="1"/>
  <c r="C1542" i="1"/>
  <c r="D1542" i="1"/>
  <c r="E1542" i="1"/>
  <c r="F1542" i="1"/>
  <c r="G1542" i="1"/>
  <c r="H1542" i="1"/>
  <c r="I1542" i="1"/>
  <c r="C1543" i="1"/>
  <c r="D1543" i="1"/>
  <c r="E1543" i="1"/>
  <c r="F1543" i="1"/>
  <c r="G1543" i="1"/>
  <c r="H1543" i="1"/>
  <c r="I1543" i="1"/>
  <c r="C1544" i="1"/>
  <c r="D1544" i="1"/>
  <c r="E1544" i="1"/>
  <c r="F1544" i="1"/>
  <c r="G1544" i="1"/>
  <c r="H1544" i="1"/>
  <c r="I1544" i="1"/>
  <c r="C1545" i="1"/>
  <c r="D1545" i="1"/>
  <c r="E1545" i="1"/>
  <c r="F1545" i="1"/>
  <c r="G1545" i="1"/>
  <c r="H1545" i="1"/>
  <c r="I1545" i="1"/>
  <c r="C1546" i="1"/>
  <c r="D1546" i="1"/>
  <c r="E1546" i="1"/>
  <c r="F1546" i="1"/>
  <c r="G1546" i="1"/>
  <c r="H1546" i="1"/>
  <c r="I1546" i="1"/>
  <c r="C1547" i="1"/>
  <c r="D1547" i="1"/>
  <c r="E1547" i="1"/>
  <c r="F1547" i="1"/>
  <c r="G1547" i="1"/>
  <c r="H1547" i="1"/>
  <c r="I1547" i="1"/>
  <c r="C1548" i="1"/>
  <c r="D1548" i="1"/>
  <c r="E1548" i="1"/>
  <c r="F1548" i="1"/>
  <c r="G1548" i="1"/>
  <c r="H1548" i="1"/>
  <c r="I1548" i="1"/>
  <c r="C1549" i="1"/>
  <c r="D1549" i="1"/>
  <c r="E1549" i="1"/>
  <c r="F1549" i="1"/>
  <c r="G1549" i="1"/>
  <c r="H1549" i="1"/>
  <c r="I1549" i="1"/>
  <c r="C1550" i="1"/>
  <c r="D1550" i="1"/>
  <c r="E1550" i="1"/>
  <c r="F1550" i="1"/>
  <c r="G1550" i="1"/>
  <c r="H1550" i="1"/>
  <c r="I1550" i="1"/>
  <c r="C1551" i="1"/>
  <c r="D1551" i="1"/>
  <c r="E1551" i="1"/>
  <c r="F1551" i="1"/>
  <c r="G1551" i="1"/>
  <c r="H1551" i="1"/>
  <c r="I1551" i="1"/>
  <c r="C1552" i="1"/>
  <c r="D1552" i="1"/>
  <c r="E1552" i="1"/>
  <c r="F1552" i="1"/>
  <c r="G1552" i="1"/>
  <c r="H1552" i="1"/>
  <c r="I1552" i="1"/>
  <c r="C1553" i="1"/>
  <c r="D1553" i="1"/>
  <c r="E1553" i="1"/>
  <c r="F1553" i="1"/>
  <c r="G1553" i="1"/>
  <c r="H1553" i="1"/>
  <c r="I1553" i="1"/>
  <c r="C1554" i="1"/>
  <c r="D1554" i="1"/>
  <c r="E1554" i="1"/>
  <c r="F1554" i="1"/>
  <c r="G1554" i="1"/>
  <c r="H1554" i="1"/>
  <c r="I1554" i="1"/>
  <c r="C1555" i="1"/>
  <c r="D1555" i="1"/>
  <c r="E1555" i="1"/>
  <c r="F1555" i="1"/>
  <c r="G1555" i="1"/>
  <c r="H1555" i="1"/>
  <c r="I1555" i="1"/>
  <c r="C1556" i="1"/>
  <c r="D1556" i="1"/>
  <c r="E1556" i="1"/>
  <c r="F1556" i="1"/>
  <c r="G1556" i="1"/>
  <c r="H1556" i="1"/>
  <c r="I1556" i="1"/>
  <c r="C1557" i="1"/>
  <c r="D1557" i="1"/>
  <c r="E1557" i="1"/>
  <c r="F1557" i="1"/>
  <c r="G1557" i="1"/>
  <c r="H1557" i="1"/>
  <c r="I1557" i="1"/>
  <c r="C1558" i="1"/>
  <c r="D1558" i="1"/>
  <c r="E1558" i="1"/>
  <c r="F1558" i="1"/>
  <c r="G1558" i="1"/>
  <c r="H1558" i="1"/>
  <c r="I1558" i="1"/>
  <c r="C1559" i="1"/>
  <c r="D1559" i="1"/>
  <c r="E1559" i="1"/>
  <c r="F1559" i="1"/>
  <c r="G1559" i="1"/>
  <c r="H1559" i="1"/>
  <c r="I1559" i="1"/>
  <c r="C1560" i="1"/>
  <c r="D1560" i="1"/>
  <c r="E1560" i="1"/>
  <c r="F1560" i="1"/>
  <c r="G1560" i="1"/>
  <c r="H1560" i="1"/>
  <c r="I1560" i="1"/>
  <c r="C1561" i="1"/>
  <c r="D1561" i="1"/>
  <c r="E1561" i="1"/>
  <c r="F1561" i="1"/>
  <c r="G1561" i="1"/>
  <c r="H1561" i="1"/>
  <c r="I1561" i="1"/>
  <c r="C1562" i="1"/>
  <c r="D1562" i="1"/>
  <c r="E1562" i="1"/>
  <c r="F1562" i="1"/>
  <c r="G1562" i="1"/>
  <c r="H1562" i="1"/>
  <c r="I1562" i="1"/>
  <c r="C1563" i="1"/>
  <c r="D1563" i="1"/>
  <c r="E1563" i="1"/>
  <c r="F1563" i="1"/>
  <c r="G1563" i="1"/>
  <c r="H1563" i="1"/>
  <c r="I1563" i="1"/>
  <c r="C1564" i="1"/>
  <c r="D1564" i="1"/>
  <c r="E1564" i="1"/>
  <c r="F1564" i="1"/>
  <c r="G1564" i="1"/>
  <c r="H1564" i="1"/>
  <c r="I1564" i="1"/>
  <c r="C1565" i="1"/>
  <c r="D1565" i="1"/>
  <c r="E1565" i="1"/>
  <c r="F1565" i="1"/>
  <c r="G1565" i="1"/>
  <c r="H1565" i="1"/>
  <c r="I1565" i="1"/>
  <c r="C1566" i="1"/>
  <c r="D1566" i="1"/>
  <c r="E1566" i="1"/>
  <c r="F1566" i="1"/>
  <c r="G1566" i="1"/>
  <c r="H1566" i="1"/>
  <c r="I1566" i="1"/>
  <c r="C301" i="1"/>
  <c r="D301" i="1"/>
  <c r="E301" i="1"/>
  <c r="F301" i="1"/>
  <c r="G301" i="1"/>
  <c r="H301" i="1"/>
  <c r="I301" i="1"/>
  <c r="C1567" i="1"/>
  <c r="D1567" i="1"/>
  <c r="E1567" i="1"/>
  <c r="F1567" i="1"/>
  <c r="G1567" i="1"/>
  <c r="H1567" i="1"/>
  <c r="I1567" i="1"/>
  <c r="C1568" i="1"/>
  <c r="D1568" i="1"/>
  <c r="E1568" i="1"/>
  <c r="F1568" i="1"/>
  <c r="G1568" i="1"/>
  <c r="H1568" i="1"/>
  <c r="I1568" i="1"/>
  <c r="C1569" i="1"/>
  <c r="D1569" i="1"/>
  <c r="E1569" i="1"/>
  <c r="F1569" i="1"/>
  <c r="G1569" i="1"/>
  <c r="H1569" i="1"/>
  <c r="I1569" i="1"/>
  <c r="C1570" i="1"/>
  <c r="D1570" i="1"/>
  <c r="E1570" i="1"/>
  <c r="F1570" i="1"/>
  <c r="G1570" i="1"/>
  <c r="H1570" i="1"/>
  <c r="I1570" i="1"/>
  <c r="C1571" i="1"/>
  <c r="D1571" i="1"/>
  <c r="E1571" i="1"/>
  <c r="F1571" i="1"/>
  <c r="G1571" i="1"/>
  <c r="H1571" i="1"/>
  <c r="I1571" i="1"/>
  <c r="C1572" i="1"/>
  <c r="D1572" i="1"/>
  <c r="E1572" i="1"/>
  <c r="F1572" i="1"/>
  <c r="G1572" i="1"/>
  <c r="H1572" i="1"/>
  <c r="I1572" i="1"/>
  <c r="C1573" i="1"/>
  <c r="D1573" i="1"/>
  <c r="E1573" i="1"/>
  <c r="F1573" i="1"/>
  <c r="G1573" i="1"/>
  <c r="H1573" i="1"/>
  <c r="I1573" i="1"/>
  <c r="C1524" i="1"/>
  <c r="D1524" i="1"/>
  <c r="E1524" i="1"/>
  <c r="F1524" i="1"/>
  <c r="G1524" i="1"/>
  <c r="H1524" i="1"/>
  <c r="I1524" i="1"/>
  <c r="C1574" i="1"/>
  <c r="D1574" i="1"/>
  <c r="E1574" i="1"/>
  <c r="F1574" i="1"/>
  <c r="G1574" i="1"/>
  <c r="H1574" i="1"/>
  <c r="I1574" i="1"/>
  <c r="C1575" i="1"/>
  <c r="D1575" i="1"/>
  <c r="E1575" i="1"/>
  <c r="F1575" i="1"/>
  <c r="G1575" i="1"/>
  <c r="H1575" i="1"/>
  <c r="I1575" i="1"/>
  <c r="C1576" i="1"/>
  <c r="D1576" i="1"/>
  <c r="E1576" i="1"/>
  <c r="F1576" i="1"/>
  <c r="G1576" i="1"/>
  <c r="H1576" i="1"/>
  <c r="I1576" i="1"/>
  <c r="C1577" i="1"/>
  <c r="D1577" i="1"/>
  <c r="E1577" i="1"/>
  <c r="F1577" i="1"/>
  <c r="G1577" i="1"/>
  <c r="H1577" i="1"/>
  <c r="I1577" i="1"/>
  <c r="C1669" i="1"/>
  <c r="D1669" i="1"/>
  <c r="E1669" i="1"/>
  <c r="F1669" i="1"/>
  <c r="G1669" i="1"/>
  <c r="H1669" i="1"/>
  <c r="I1669" i="1"/>
  <c r="C1670" i="1"/>
  <c r="D1670" i="1"/>
  <c r="E1670" i="1"/>
  <c r="F1670" i="1"/>
  <c r="G1670" i="1"/>
  <c r="H1670" i="1"/>
  <c r="I1670" i="1"/>
  <c r="C1664" i="1"/>
  <c r="D1664" i="1"/>
  <c r="E1664" i="1"/>
  <c r="F1664" i="1"/>
  <c r="G1664" i="1"/>
  <c r="H1664" i="1"/>
  <c r="I1664" i="1"/>
  <c r="C1668" i="1"/>
  <c r="D1668" i="1"/>
  <c r="E1668" i="1"/>
  <c r="F1668" i="1"/>
  <c r="G1668" i="1"/>
  <c r="H1668" i="1"/>
  <c r="I1668" i="1"/>
  <c r="C1578" i="1"/>
  <c r="D1578" i="1"/>
  <c r="E1578" i="1"/>
  <c r="F1578" i="1"/>
  <c r="G1578" i="1"/>
  <c r="H1578" i="1"/>
  <c r="I1578" i="1"/>
  <c r="C1579" i="1"/>
  <c r="D1579" i="1"/>
  <c r="E1579" i="1"/>
  <c r="F1579" i="1"/>
  <c r="G1579" i="1"/>
  <c r="H1579" i="1"/>
  <c r="I1579" i="1"/>
  <c r="C1580" i="1"/>
  <c r="D1580" i="1"/>
  <c r="E1580" i="1"/>
  <c r="F1580" i="1"/>
  <c r="G1580" i="1"/>
  <c r="H1580" i="1"/>
  <c r="I1580" i="1"/>
  <c r="C1581" i="1"/>
  <c r="D1581" i="1"/>
  <c r="E1581" i="1"/>
  <c r="F1581" i="1"/>
  <c r="G1581" i="1"/>
  <c r="H1581" i="1"/>
  <c r="I1581" i="1"/>
  <c r="C1582" i="1"/>
  <c r="D1582" i="1"/>
  <c r="E1582" i="1"/>
  <c r="F1582" i="1"/>
  <c r="G1582" i="1"/>
  <c r="H1582" i="1"/>
  <c r="I1582" i="1"/>
  <c r="C1583" i="1"/>
  <c r="D1583" i="1"/>
  <c r="E1583" i="1"/>
  <c r="F1583" i="1"/>
  <c r="G1583" i="1"/>
  <c r="H1583" i="1"/>
  <c r="I1583" i="1"/>
  <c r="C1584" i="1"/>
  <c r="D1584" i="1"/>
  <c r="E1584" i="1"/>
  <c r="F1584" i="1"/>
  <c r="G1584" i="1"/>
  <c r="H1584" i="1"/>
  <c r="I1584" i="1"/>
  <c r="C1585" i="1"/>
  <c r="D1585" i="1"/>
  <c r="E1585" i="1"/>
  <c r="F1585" i="1"/>
  <c r="G1585" i="1"/>
  <c r="H1585" i="1"/>
  <c r="I1585" i="1"/>
  <c r="C1586" i="1"/>
  <c r="D1586" i="1"/>
  <c r="E1586" i="1"/>
  <c r="F1586" i="1"/>
  <c r="G1586" i="1"/>
  <c r="H1586" i="1"/>
  <c r="I1586" i="1"/>
  <c r="C1587" i="1"/>
  <c r="D1587" i="1"/>
  <c r="E1587" i="1"/>
  <c r="F1587" i="1"/>
  <c r="G1587" i="1"/>
  <c r="H1587" i="1"/>
  <c r="I1587" i="1"/>
  <c r="C1588" i="1"/>
  <c r="D1588" i="1"/>
  <c r="E1588" i="1"/>
  <c r="F1588" i="1"/>
  <c r="G1588" i="1"/>
  <c r="H1588" i="1"/>
  <c r="I1588" i="1"/>
  <c r="C1683" i="1"/>
  <c r="D1683" i="1"/>
  <c r="E1683" i="1"/>
  <c r="F1683" i="1"/>
  <c r="G1683" i="1"/>
  <c r="H1683" i="1"/>
  <c r="I1683" i="1"/>
  <c r="C1684" i="1"/>
  <c r="D1684" i="1"/>
  <c r="E1684" i="1"/>
  <c r="F1684" i="1"/>
  <c r="G1684" i="1"/>
  <c r="H1684" i="1"/>
  <c r="I1684" i="1"/>
  <c r="C1685" i="1"/>
  <c r="D1685" i="1"/>
  <c r="E1685" i="1"/>
  <c r="F1685" i="1"/>
  <c r="G1685" i="1"/>
  <c r="H1685" i="1"/>
  <c r="I1685" i="1"/>
  <c r="C1686" i="1"/>
  <c r="D1686" i="1"/>
  <c r="E1686" i="1"/>
  <c r="F1686" i="1"/>
  <c r="G1686" i="1"/>
  <c r="H1686" i="1"/>
  <c r="I1686" i="1"/>
  <c r="C1687" i="1"/>
  <c r="D1687" i="1"/>
  <c r="E1687" i="1"/>
  <c r="F1687" i="1"/>
  <c r="G1687" i="1"/>
  <c r="H1687" i="1"/>
  <c r="I1687" i="1"/>
  <c r="C1688" i="1"/>
  <c r="D1688" i="1"/>
  <c r="E1688" i="1"/>
  <c r="F1688" i="1"/>
  <c r="G1688" i="1"/>
  <c r="H1688" i="1"/>
  <c r="I1688" i="1"/>
  <c r="C1689" i="1"/>
  <c r="D1689" i="1"/>
  <c r="E1689" i="1"/>
  <c r="F1689" i="1"/>
  <c r="G1689" i="1"/>
  <c r="H1689" i="1"/>
  <c r="I1689" i="1"/>
  <c r="C1690" i="1"/>
  <c r="D1690" i="1"/>
  <c r="E1690" i="1"/>
  <c r="F1690" i="1"/>
  <c r="G1690" i="1"/>
  <c r="H1690" i="1"/>
  <c r="I1690" i="1"/>
  <c r="C1691" i="1"/>
  <c r="D1691" i="1"/>
  <c r="E1691" i="1"/>
  <c r="F1691" i="1"/>
  <c r="G1691" i="1"/>
  <c r="H1691" i="1"/>
  <c r="I1691" i="1"/>
  <c r="C1692" i="1"/>
  <c r="D1692" i="1"/>
  <c r="E1692" i="1"/>
  <c r="F1692" i="1"/>
  <c r="G1692" i="1"/>
  <c r="H1692" i="1"/>
  <c r="I1692" i="1"/>
  <c r="C1693" i="1"/>
  <c r="D1693" i="1"/>
  <c r="E1693" i="1"/>
  <c r="F1693" i="1"/>
  <c r="G1693" i="1"/>
  <c r="H1693" i="1"/>
  <c r="I1693" i="1"/>
  <c r="C1694" i="1"/>
  <c r="D1694" i="1"/>
  <c r="E1694" i="1"/>
  <c r="F1694" i="1"/>
  <c r="G1694" i="1"/>
  <c r="H1694" i="1"/>
  <c r="I1694" i="1"/>
  <c r="C1695" i="1"/>
  <c r="D1695" i="1"/>
  <c r="E1695" i="1"/>
  <c r="F1695" i="1"/>
  <c r="G1695" i="1"/>
  <c r="H1695" i="1"/>
  <c r="I1695" i="1"/>
  <c r="C1696" i="1"/>
  <c r="D1696" i="1"/>
  <c r="E1696" i="1"/>
  <c r="F1696" i="1"/>
  <c r="G1696" i="1"/>
  <c r="H1696" i="1"/>
  <c r="I1696" i="1"/>
  <c r="C4227" i="1"/>
  <c r="D4227" i="1"/>
  <c r="E4227" i="1"/>
  <c r="F4227" i="1"/>
  <c r="G4227" i="1"/>
  <c r="H4227" i="1"/>
  <c r="I4227" i="1"/>
  <c r="C1801" i="1"/>
  <c r="D1801" i="1"/>
  <c r="E1801" i="1"/>
  <c r="F1801" i="1"/>
  <c r="G1801" i="1"/>
  <c r="H1801" i="1"/>
  <c r="I1801" i="1"/>
  <c r="C1806" i="1"/>
  <c r="D1806" i="1"/>
  <c r="E1806" i="1"/>
  <c r="F1806" i="1"/>
  <c r="G1806" i="1"/>
  <c r="H1806" i="1"/>
  <c r="I1806" i="1"/>
  <c r="C1697" i="1"/>
  <c r="D1697" i="1"/>
  <c r="E1697" i="1"/>
  <c r="F1697" i="1"/>
  <c r="G1697" i="1"/>
  <c r="H1697" i="1"/>
  <c r="I1697" i="1"/>
  <c r="C1698" i="1"/>
  <c r="D1698" i="1"/>
  <c r="E1698" i="1"/>
  <c r="F1698" i="1"/>
  <c r="G1698" i="1"/>
  <c r="H1698" i="1"/>
  <c r="I1698" i="1"/>
  <c r="C1699" i="1"/>
  <c r="D1699" i="1"/>
  <c r="E1699" i="1"/>
  <c r="F1699" i="1"/>
  <c r="G1699" i="1"/>
  <c r="H1699" i="1"/>
  <c r="I1699" i="1"/>
  <c r="C1700" i="1"/>
  <c r="D1700" i="1"/>
  <c r="E1700" i="1"/>
  <c r="F1700" i="1"/>
  <c r="G1700" i="1"/>
  <c r="H1700" i="1"/>
  <c r="I1700" i="1"/>
  <c r="C1701" i="1"/>
  <c r="D1701" i="1"/>
  <c r="E1701" i="1"/>
  <c r="F1701" i="1"/>
  <c r="G1701" i="1"/>
  <c r="H1701" i="1"/>
  <c r="I1701" i="1"/>
  <c r="C1702" i="1"/>
  <c r="D1702" i="1"/>
  <c r="E1702" i="1"/>
  <c r="F1702" i="1"/>
  <c r="G1702" i="1"/>
  <c r="H1702" i="1"/>
  <c r="I1702" i="1"/>
  <c r="C4311" i="1"/>
  <c r="D4311" i="1"/>
  <c r="E4311" i="1"/>
  <c r="F4311" i="1"/>
  <c r="G4311" i="1"/>
  <c r="H4311" i="1"/>
  <c r="I4311" i="1"/>
  <c r="C1703" i="1"/>
  <c r="D1703" i="1"/>
  <c r="E1703" i="1"/>
  <c r="F1703" i="1"/>
  <c r="G1703" i="1"/>
  <c r="H1703" i="1"/>
  <c r="I1703" i="1"/>
  <c r="C1704" i="1"/>
  <c r="D1704" i="1"/>
  <c r="E1704" i="1"/>
  <c r="F1704" i="1"/>
  <c r="G1704" i="1"/>
  <c r="H1704" i="1"/>
  <c r="I1704" i="1"/>
  <c r="C1705" i="1"/>
  <c r="D1705" i="1"/>
  <c r="E1705" i="1"/>
  <c r="F1705" i="1"/>
  <c r="G1705" i="1"/>
  <c r="H1705" i="1"/>
  <c r="I1705" i="1"/>
  <c r="C1809" i="1"/>
  <c r="D1809" i="1"/>
  <c r="E1809" i="1"/>
  <c r="F1809" i="1"/>
  <c r="G1809" i="1"/>
  <c r="H1809" i="1"/>
  <c r="I1809" i="1"/>
  <c r="C1799" i="1"/>
  <c r="D1799" i="1"/>
  <c r="E1799" i="1"/>
  <c r="F1799" i="1"/>
  <c r="G1799" i="1"/>
  <c r="H1799" i="1"/>
  <c r="I1799" i="1"/>
  <c r="C1800" i="1"/>
  <c r="D1800" i="1"/>
  <c r="E1800" i="1"/>
  <c r="F1800" i="1"/>
  <c r="G1800" i="1"/>
  <c r="H1800" i="1"/>
  <c r="I1800" i="1"/>
  <c r="C1803" i="1"/>
  <c r="D1803" i="1"/>
  <c r="E1803" i="1"/>
  <c r="F1803" i="1"/>
  <c r="G1803" i="1"/>
  <c r="H1803" i="1"/>
  <c r="I1803" i="1"/>
  <c r="C1804" i="1"/>
  <c r="D1804" i="1"/>
  <c r="E1804" i="1"/>
  <c r="F1804" i="1"/>
  <c r="G1804" i="1"/>
  <c r="H1804" i="1"/>
  <c r="I1804" i="1"/>
  <c r="C1805" i="1"/>
  <c r="D1805" i="1"/>
  <c r="E1805" i="1"/>
  <c r="F1805" i="1"/>
  <c r="G1805" i="1"/>
  <c r="H1805" i="1"/>
  <c r="I1805" i="1"/>
  <c r="C1706" i="1"/>
  <c r="D1706" i="1"/>
  <c r="E1706" i="1"/>
  <c r="F1706" i="1"/>
  <c r="G1706" i="1"/>
  <c r="H1706" i="1"/>
  <c r="I1706" i="1"/>
  <c r="C1707" i="1"/>
  <c r="D1707" i="1"/>
  <c r="E1707" i="1"/>
  <c r="F1707" i="1"/>
  <c r="G1707" i="1"/>
  <c r="H1707" i="1"/>
  <c r="I1707" i="1"/>
  <c r="C1708" i="1"/>
  <c r="D1708" i="1"/>
  <c r="E1708" i="1"/>
  <c r="F1708" i="1"/>
  <c r="G1708" i="1"/>
  <c r="H1708" i="1"/>
  <c r="I1708" i="1"/>
  <c r="C1709" i="1"/>
  <c r="D1709" i="1"/>
  <c r="E1709" i="1"/>
  <c r="F1709" i="1"/>
  <c r="G1709" i="1"/>
  <c r="H1709" i="1"/>
  <c r="I1709" i="1"/>
  <c r="C1710" i="1"/>
  <c r="D1710" i="1"/>
  <c r="E1710" i="1"/>
  <c r="F1710" i="1"/>
  <c r="G1710" i="1"/>
  <c r="H1710" i="1"/>
  <c r="I1710" i="1"/>
  <c r="C1711" i="1"/>
  <c r="D1711" i="1"/>
  <c r="E1711" i="1"/>
  <c r="F1711" i="1"/>
  <c r="G1711" i="1"/>
  <c r="H1711" i="1"/>
  <c r="I1711" i="1"/>
  <c r="C1712" i="1"/>
  <c r="D1712" i="1"/>
  <c r="E1712" i="1"/>
  <c r="F1712" i="1"/>
  <c r="G1712" i="1"/>
  <c r="H1712" i="1"/>
  <c r="I1712" i="1"/>
  <c r="C1713" i="1"/>
  <c r="D1713" i="1"/>
  <c r="E1713" i="1"/>
  <c r="F1713" i="1"/>
  <c r="G1713" i="1"/>
  <c r="H1713" i="1"/>
  <c r="I1713" i="1"/>
  <c r="C1714" i="1"/>
  <c r="D1714" i="1"/>
  <c r="E1714" i="1"/>
  <c r="F1714" i="1"/>
  <c r="G1714" i="1"/>
  <c r="H1714" i="1"/>
  <c r="I1714" i="1"/>
  <c r="C1715" i="1"/>
  <c r="D1715" i="1"/>
  <c r="E1715" i="1"/>
  <c r="F1715" i="1"/>
  <c r="G1715" i="1"/>
  <c r="H1715" i="1"/>
  <c r="I1715" i="1"/>
  <c r="C3202" i="1"/>
  <c r="D3202" i="1"/>
  <c r="E3202" i="1"/>
  <c r="F3202" i="1"/>
  <c r="G3202" i="1"/>
  <c r="H3202" i="1"/>
  <c r="I3202" i="1"/>
  <c r="C2954" i="1"/>
  <c r="D2954" i="1"/>
  <c r="E2954" i="1"/>
  <c r="F2954" i="1"/>
  <c r="G2954" i="1"/>
  <c r="H2954" i="1"/>
  <c r="I2954" i="1"/>
  <c r="C1716" i="1"/>
  <c r="D1716" i="1"/>
  <c r="E1716" i="1"/>
  <c r="F1716" i="1"/>
  <c r="G1716" i="1"/>
  <c r="H1716" i="1"/>
  <c r="I1716" i="1"/>
  <c r="C1717" i="1"/>
  <c r="D1717" i="1"/>
  <c r="E1717" i="1"/>
  <c r="F1717" i="1"/>
  <c r="G1717" i="1"/>
  <c r="H1717" i="1"/>
  <c r="I1717" i="1"/>
  <c r="C1718" i="1"/>
  <c r="D1718" i="1"/>
  <c r="E1718" i="1"/>
  <c r="F1718" i="1"/>
  <c r="G1718" i="1"/>
  <c r="H1718" i="1"/>
  <c r="I1718" i="1"/>
  <c r="C1719" i="1"/>
  <c r="D1719" i="1"/>
  <c r="E1719" i="1"/>
  <c r="F1719" i="1"/>
  <c r="G1719" i="1"/>
  <c r="H1719" i="1"/>
  <c r="I1719" i="1"/>
  <c r="C1720" i="1"/>
  <c r="D1720" i="1"/>
  <c r="E1720" i="1"/>
  <c r="F1720" i="1"/>
  <c r="G1720" i="1"/>
  <c r="H1720" i="1"/>
  <c r="I1720" i="1"/>
  <c r="C1721" i="1"/>
  <c r="D1721" i="1"/>
  <c r="E1721" i="1"/>
  <c r="F1721" i="1"/>
  <c r="G1721" i="1"/>
  <c r="H1721" i="1"/>
  <c r="I1721" i="1"/>
  <c r="C1722" i="1"/>
  <c r="D1722" i="1"/>
  <c r="E1722" i="1"/>
  <c r="F1722" i="1"/>
  <c r="G1722" i="1"/>
  <c r="H1722" i="1"/>
  <c r="I1722" i="1"/>
  <c r="C1723" i="1"/>
  <c r="D1723" i="1"/>
  <c r="E1723" i="1"/>
  <c r="F1723" i="1"/>
  <c r="G1723" i="1"/>
  <c r="H1723" i="1"/>
  <c r="I1723" i="1"/>
  <c r="C1724" i="1"/>
  <c r="D1724" i="1"/>
  <c r="E1724" i="1"/>
  <c r="F1724" i="1"/>
  <c r="G1724" i="1"/>
  <c r="H1724" i="1"/>
  <c r="I1724" i="1"/>
  <c r="C1725" i="1"/>
  <c r="D1725" i="1"/>
  <c r="E1725" i="1"/>
  <c r="F1725" i="1"/>
  <c r="G1725" i="1"/>
  <c r="H1725" i="1"/>
  <c r="I1725" i="1"/>
  <c r="C1726" i="1"/>
  <c r="D1726" i="1"/>
  <c r="E1726" i="1"/>
  <c r="F1726" i="1"/>
  <c r="G1726" i="1"/>
  <c r="H1726" i="1"/>
  <c r="I1726" i="1"/>
  <c r="C1727" i="1"/>
  <c r="D1727" i="1"/>
  <c r="E1727" i="1"/>
  <c r="F1727" i="1"/>
  <c r="G1727" i="1"/>
  <c r="H1727" i="1"/>
  <c r="I1727" i="1"/>
  <c r="C1728" i="1"/>
  <c r="D1728" i="1"/>
  <c r="E1728" i="1"/>
  <c r="F1728" i="1"/>
  <c r="G1728" i="1"/>
  <c r="H1728" i="1"/>
  <c r="I1728" i="1"/>
  <c r="C1729" i="1"/>
  <c r="D1729" i="1"/>
  <c r="E1729" i="1"/>
  <c r="F1729" i="1"/>
  <c r="G1729" i="1"/>
  <c r="H1729" i="1"/>
  <c r="I1729" i="1"/>
  <c r="C1730" i="1"/>
  <c r="D1730" i="1"/>
  <c r="E1730" i="1"/>
  <c r="F1730" i="1"/>
  <c r="G1730" i="1"/>
  <c r="H1730" i="1"/>
  <c r="I1730" i="1"/>
  <c r="C1731" i="1"/>
  <c r="D1731" i="1"/>
  <c r="E1731" i="1"/>
  <c r="F1731" i="1"/>
  <c r="G1731" i="1"/>
  <c r="H1731" i="1"/>
  <c r="I1731" i="1"/>
  <c r="C1732" i="1"/>
  <c r="D1732" i="1"/>
  <c r="E1732" i="1"/>
  <c r="F1732" i="1"/>
  <c r="G1732" i="1"/>
  <c r="H1732" i="1"/>
  <c r="I1732" i="1"/>
  <c r="C1733" i="1"/>
  <c r="D1733" i="1"/>
  <c r="E1733" i="1"/>
  <c r="F1733" i="1"/>
  <c r="G1733" i="1"/>
  <c r="H1733" i="1"/>
  <c r="I1733" i="1"/>
  <c r="C1054" i="1"/>
  <c r="D1054" i="1"/>
  <c r="E1054" i="1"/>
  <c r="F1054" i="1"/>
  <c r="G1054" i="1"/>
  <c r="H1054" i="1"/>
  <c r="I1054" i="1"/>
  <c r="C3862" i="1"/>
  <c r="D3862" i="1"/>
  <c r="E3862" i="1"/>
  <c r="F3862" i="1"/>
  <c r="G3862" i="1"/>
  <c r="H3862" i="1"/>
  <c r="I3862" i="1"/>
  <c r="C4312" i="1"/>
  <c r="D4312" i="1"/>
  <c r="E4312" i="1"/>
  <c r="F4312" i="1"/>
  <c r="G4312" i="1"/>
  <c r="H4312" i="1"/>
  <c r="I4312" i="1"/>
  <c r="C1734" i="1"/>
  <c r="D1734" i="1"/>
  <c r="E1734" i="1"/>
  <c r="F1734" i="1"/>
  <c r="G1734" i="1"/>
  <c r="H1734" i="1"/>
  <c r="I1734" i="1"/>
  <c r="C1735" i="1"/>
  <c r="D1735" i="1"/>
  <c r="E1735" i="1"/>
  <c r="F1735" i="1"/>
  <c r="G1735" i="1"/>
  <c r="H1735" i="1"/>
  <c r="I1735" i="1"/>
  <c r="C1736" i="1"/>
  <c r="D1736" i="1"/>
  <c r="E1736" i="1"/>
  <c r="F1736" i="1"/>
  <c r="G1736" i="1"/>
  <c r="H1736" i="1"/>
  <c r="I1736" i="1"/>
  <c r="C1737" i="1"/>
  <c r="D1737" i="1"/>
  <c r="E1737" i="1"/>
  <c r="F1737" i="1"/>
  <c r="G1737" i="1"/>
  <c r="H1737" i="1"/>
  <c r="I1737" i="1"/>
  <c r="C1462" i="1"/>
  <c r="D1462" i="1"/>
  <c r="E1462" i="1"/>
  <c r="F1462" i="1"/>
  <c r="G1462" i="1"/>
  <c r="H1462" i="1"/>
  <c r="I1462" i="1"/>
  <c r="C1055" i="1"/>
  <c r="D1055" i="1"/>
  <c r="E1055" i="1"/>
  <c r="F1055" i="1"/>
  <c r="G1055" i="1"/>
  <c r="H1055" i="1"/>
  <c r="I1055" i="1"/>
  <c r="C1738" i="1"/>
  <c r="D1738" i="1"/>
  <c r="E1738" i="1"/>
  <c r="F1738" i="1"/>
  <c r="G1738" i="1"/>
  <c r="H1738" i="1"/>
  <c r="I1738" i="1"/>
  <c r="C1739" i="1"/>
  <c r="D1739" i="1"/>
  <c r="E1739" i="1"/>
  <c r="F1739" i="1"/>
  <c r="G1739" i="1"/>
  <c r="H1739" i="1"/>
  <c r="I1739" i="1"/>
  <c r="C1740" i="1"/>
  <c r="D1740" i="1"/>
  <c r="E1740" i="1"/>
  <c r="F1740" i="1"/>
  <c r="G1740" i="1"/>
  <c r="H1740" i="1"/>
  <c r="I1740" i="1"/>
  <c r="C1741" i="1"/>
  <c r="D1741" i="1"/>
  <c r="E1741" i="1"/>
  <c r="F1741" i="1"/>
  <c r="G1741" i="1"/>
  <c r="H1741" i="1"/>
  <c r="I1741" i="1"/>
  <c r="C1742" i="1"/>
  <c r="D1742" i="1"/>
  <c r="E1742" i="1"/>
  <c r="F1742" i="1"/>
  <c r="G1742" i="1"/>
  <c r="H1742" i="1"/>
  <c r="I1742" i="1"/>
  <c r="C1743" i="1"/>
  <c r="D1743" i="1"/>
  <c r="E1743" i="1"/>
  <c r="F1743" i="1"/>
  <c r="G1743" i="1"/>
  <c r="H1743" i="1"/>
  <c r="I1743" i="1"/>
  <c r="C1744" i="1"/>
  <c r="D1744" i="1"/>
  <c r="E1744" i="1"/>
  <c r="F1744" i="1"/>
  <c r="G1744" i="1"/>
  <c r="H1744" i="1"/>
  <c r="I1744" i="1"/>
  <c r="C1817" i="1"/>
  <c r="D1817" i="1"/>
  <c r="E1817" i="1"/>
  <c r="F1817" i="1"/>
  <c r="G1817" i="1"/>
  <c r="H1817" i="1"/>
  <c r="I1817" i="1"/>
  <c r="C1818" i="1"/>
  <c r="D1818" i="1"/>
  <c r="E1818" i="1"/>
  <c r="F1818" i="1"/>
  <c r="G1818" i="1"/>
  <c r="H1818" i="1"/>
  <c r="I1818" i="1"/>
  <c r="C1819" i="1"/>
  <c r="D1819" i="1"/>
  <c r="E1819" i="1"/>
  <c r="F1819" i="1"/>
  <c r="G1819" i="1"/>
  <c r="H1819" i="1"/>
  <c r="I1819" i="1"/>
  <c r="C1820" i="1"/>
  <c r="D1820" i="1"/>
  <c r="E1820" i="1"/>
  <c r="F1820" i="1"/>
  <c r="G1820" i="1"/>
  <c r="H1820" i="1"/>
  <c r="I1820" i="1"/>
  <c r="C1821" i="1"/>
  <c r="D1821" i="1"/>
  <c r="E1821" i="1"/>
  <c r="F1821" i="1"/>
  <c r="G1821" i="1"/>
  <c r="H1821" i="1"/>
  <c r="I1821" i="1"/>
  <c r="C1822" i="1"/>
  <c r="D1822" i="1"/>
  <c r="E1822" i="1"/>
  <c r="F1822" i="1"/>
  <c r="G1822" i="1"/>
  <c r="H1822" i="1"/>
  <c r="I1822" i="1"/>
  <c r="C1823" i="1"/>
  <c r="D1823" i="1"/>
  <c r="E1823" i="1"/>
  <c r="F1823" i="1"/>
  <c r="G1823" i="1"/>
  <c r="H1823" i="1"/>
  <c r="I1823" i="1"/>
  <c r="C1824" i="1"/>
  <c r="D1824" i="1"/>
  <c r="E1824" i="1"/>
  <c r="F1824" i="1"/>
  <c r="G1824" i="1"/>
  <c r="H1824" i="1"/>
  <c r="I1824" i="1"/>
  <c r="C1825" i="1"/>
  <c r="D1825" i="1"/>
  <c r="E1825" i="1"/>
  <c r="F1825" i="1"/>
  <c r="G1825" i="1"/>
  <c r="H1825" i="1"/>
  <c r="I1825" i="1"/>
  <c r="C1826" i="1"/>
  <c r="D1826" i="1"/>
  <c r="E1826" i="1"/>
  <c r="F1826" i="1"/>
  <c r="G1826" i="1"/>
  <c r="H1826" i="1"/>
  <c r="I1826" i="1"/>
  <c r="C1827" i="1"/>
  <c r="D1827" i="1"/>
  <c r="E1827" i="1"/>
  <c r="F1827" i="1"/>
  <c r="G1827" i="1"/>
  <c r="H1827" i="1"/>
  <c r="I1827" i="1"/>
  <c r="C1828" i="1"/>
  <c r="D1828" i="1"/>
  <c r="E1828" i="1"/>
  <c r="F1828" i="1"/>
  <c r="G1828" i="1"/>
  <c r="H1828" i="1"/>
  <c r="I1828" i="1"/>
  <c r="C1829" i="1"/>
  <c r="D1829" i="1"/>
  <c r="E1829" i="1"/>
  <c r="F1829" i="1"/>
  <c r="G1829" i="1"/>
  <c r="H1829" i="1"/>
  <c r="I1829" i="1"/>
  <c r="C1830" i="1"/>
  <c r="D1830" i="1"/>
  <c r="E1830" i="1"/>
  <c r="F1830" i="1"/>
  <c r="G1830" i="1"/>
  <c r="H1830" i="1"/>
  <c r="I1830" i="1"/>
  <c r="C1831" i="1"/>
  <c r="D1831" i="1"/>
  <c r="E1831" i="1"/>
  <c r="F1831" i="1"/>
  <c r="G1831" i="1"/>
  <c r="H1831" i="1"/>
  <c r="I1831" i="1"/>
  <c r="C1832" i="1"/>
  <c r="D1832" i="1"/>
  <c r="E1832" i="1"/>
  <c r="F1832" i="1"/>
  <c r="G1832" i="1"/>
  <c r="H1832" i="1"/>
  <c r="I1832" i="1"/>
  <c r="C1833" i="1"/>
  <c r="D1833" i="1"/>
  <c r="E1833" i="1"/>
  <c r="F1833" i="1"/>
  <c r="G1833" i="1"/>
  <c r="H1833" i="1"/>
  <c r="I1833" i="1"/>
  <c r="C1834" i="1"/>
  <c r="D1834" i="1"/>
  <c r="E1834" i="1"/>
  <c r="F1834" i="1"/>
  <c r="G1834" i="1"/>
  <c r="H1834" i="1"/>
  <c r="I1834" i="1"/>
  <c r="C1835" i="1"/>
  <c r="D1835" i="1"/>
  <c r="E1835" i="1"/>
  <c r="F1835" i="1"/>
  <c r="G1835" i="1"/>
  <c r="H1835" i="1"/>
  <c r="I1835" i="1"/>
  <c r="C1836" i="1"/>
  <c r="D1836" i="1"/>
  <c r="E1836" i="1"/>
  <c r="F1836" i="1"/>
  <c r="G1836" i="1"/>
  <c r="H1836" i="1"/>
  <c r="I1836" i="1"/>
  <c r="C1837" i="1"/>
  <c r="D1837" i="1"/>
  <c r="E1837" i="1"/>
  <c r="F1837" i="1"/>
  <c r="G1837" i="1"/>
  <c r="H1837" i="1"/>
  <c r="I1837" i="1"/>
  <c r="C1838" i="1"/>
  <c r="D1838" i="1"/>
  <c r="E1838" i="1"/>
  <c r="F1838" i="1"/>
  <c r="G1838" i="1"/>
  <c r="H1838" i="1"/>
  <c r="I1838" i="1"/>
  <c r="C1839" i="1"/>
  <c r="D1839" i="1"/>
  <c r="E1839" i="1"/>
  <c r="F1839" i="1"/>
  <c r="G1839" i="1"/>
  <c r="H1839" i="1"/>
  <c r="I1839" i="1"/>
  <c r="C1840" i="1"/>
  <c r="D1840" i="1"/>
  <c r="E1840" i="1"/>
  <c r="F1840" i="1"/>
  <c r="G1840" i="1"/>
  <c r="H1840" i="1"/>
  <c r="I1840" i="1"/>
  <c r="C1841" i="1"/>
  <c r="D1841" i="1"/>
  <c r="E1841" i="1"/>
  <c r="F1841" i="1"/>
  <c r="G1841" i="1"/>
  <c r="H1841" i="1"/>
  <c r="I1841" i="1"/>
  <c r="C1842" i="1"/>
  <c r="D1842" i="1"/>
  <c r="E1842" i="1"/>
  <c r="F1842" i="1"/>
  <c r="G1842" i="1"/>
  <c r="H1842" i="1"/>
  <c r="I1842" i="1"/>
  <c r="C1843" i="1"/>
  <c r="D1843" i="1"/>
  <c r="E1843" i="1"/>
  <c r="F1843" i="1"/>
  <c r="G1843" i="1"/>
  <c r="H1843" i="1"/>
  <c r="I1843" i="1"/>
  <c r="C1844" i="1"/>
  <c r="D1844" i="1"/>
  <c r="E1844" i="1"/>
  <c r="F1844" i="1"/>
  <c r="G1844" i="1"/>
  <c r="H1844" i="1"/>
  <c r="I1844" i="1"/>
  <c r="C1845" i="1"/>
  <c r="D1845" i="1"/>
  <c r="E1845" i="1"/>
  <c r="F1845" i="1"/>
  <c r="G1845" i="1"/>
  <c r="H1845" i="1"/>
  <c r="I1845" i="1"/>
  <c r="C1846" i="1"/>
  <c r="D1846" i="1"/>
  <c r="E1846" i="1"/>
  <c r="F1846" i="1"/>
  <c r="G1846" i="1"/>
  <c r="H1846" i="1"/>
  <c r="I1846" i="1"/>
  <c r="C1847" i="1"/>
  <c r="D1847" i="1"/>
  <c r="E1847" i="1"/>
  <c r="F1847" i="1"/>
  <c r="G1847" i="1"/>
  <c r="H1847" i="1"/>
  <c r="I1847" i="1"/>
  <c r="C2457" i="1"/>
  <c r="D2457" i="1"/>
  <c r="E2457" i="1"/>
  <c r="F2457" i="1"/>
  <c r="G2457" i="1"/>
  <c r="H2457" i="1"/>
  <c r="I2457" i="1"/>
  <c r="C1848" i="1"/>
  <c r="D1848" i="1"/>
  <c r="E1848" i="1"/>
  <c r="F1848" i="1"/>
  <c r="G1848" i="1"/>
  <c r="H1848" i="1"/>
  <c r="I1848" i="1"/>
  <c r="C1849" i="1"/>
  <c r="D1849" i="1"/>
  <c r="E1849" i="1"/>
  <c r="F1849" i="1"/>
  <c r="G1849" i="1"/>
  <c r="H1849" i="1"/>
  <c r="I1849" i="1"/>
  <c r="C1850" i="1"/>
  <c r="D1850" i="1"/>
  <c r="E1850" i="1"/>
  <c r="F1850" i="1"/>
  <c r="G1850" i="1"/>
  <c r="H1850" i="1"/>
  <c r="I1850" i="1"/>
  <c r="C1851" i="1"/>
  <c r="D1851" i="1"/>
  <c r="E1851" i="1"/>
  <c r="F1851" i="1"/>
  <c r="G1851" i="1"/>
  <c r="H1851" i="1"/>
  <c r="I1851" i="1"/>
  <c r="C1852" i="1"/>
  <c r="D1852" i="1"/>
  <c r="E1852" i="1"/>
  <c r="F1852" i="1"/>
  <c r="G1852" i="1"/>
  <c r="H1852" i="1"/>
  <c r="I1852" i="1"/>
  <c r="C1853" i="1"/>
  <c r="D1853" i="1"/>
  <c r="E1853" i="1"/>
  <c r="F1853" i="1"/>
  <c r="G1853" i="1"/>
  <c r="H1853" i="1"/>
  <c r="I1853" i="1"/>
  <c r="C1854" i="1"/>
  <c r="D1854" i="1"/>
  <c r="E1854" i="1"/>
  <c r="F1854" i="1"/>
  <c r="G1854" i="1"/>
  <c r="H1854" i="1"/>
  <c r="I1854" i="1"/>
  <c r="C1855" i="1"/>
  <c r="D1855" i="1"/>
  <c r="E1855" i="1"/>
  <c r="F1855" i="1"/>
  <c r="G1855" i="1"/>
  <c r="H1855" i="1"/>
  <c r="I1855" i="1"/>
  <c r="C1856" i="1"/>
  <c r="D1856" i="1"/>
  <c r="E1856" i="1"/>
  <c r="F1856" i="1"/>
  <c r="G1856" i="1"/>
  <c r="H1856" i="1"/>
  <c r="I1856" i="1"/>
  <c r="C1857" i="1"/>
  <c r="D1857" i="1"/>
  <c r="E1857" i="1"/>
  <c r="F1857" i="1"/>
  <c r="G1857" i="1"/>
  <c r="H1857" i="1"/>
  <c r="I1857" i="1"/>
  <c r="C1858" i="1"/>
  <c r="D1858" i="1"/>
  <c r="E1858" i="1"/>
  <c r="F1858" i="1"/>
  <c r="G1858" i="1"/>
  <c r="H1858" i="1"/>
  <c r="I1858" i="1"/>
  <c r="C1859" i="1"/>
  <c r="D1859" i="1"/>
  <c r="E1859" i="1"/>
  <c r="F1859" i="1"/>
  <c r="G1859" i="1"/>
  <c r="H1859" i="1"/>
  <c r="I1859" i="1"/>
  <c r="C1860" i="1"/>
  <c r="D1860" i="1"/>
  <c r="E1860" i="1"/>
  <c r="F1860" i="1"/>
  <c r="G1860" i="1"/>
  <c r="H1860" i="1"/>
  <c r="I1860" i="1"/>
  <c r="C1861" i="1"/>
  <c r="D1861" i="1"/>
  <c r="E1861" i="1"/>
  <c r="F1861" i="1"/>
  <c r="G1861" i="1"/>
  <c r="H1861" i="1"/>
  <c r="I1861" i="1"/>
  <c r="C1862" i="1"/>
  <c r="D1862" i="1"/>
  <c r="E1862" i="1"/>
  <c r="F1862" i="1"/>
  <c r="G1862" i="1"/>
  <c r="H1862" i="1"/>
  <c r="I1862" i="1"/>
  <c r="C1863" i="1"/>
  <c r="D1863" i="1"/>
  <c r="E1863" i="1"/>
  <c r="F1863" i="1"/>
  <c r="G1863" i="1"/>
  <c r="H1863" i="1"/>
  <c r="I1863" i="1"/>
  <c r="C1864" i="1"/>
  <c r="D1864" i="1"/>
  <c r="E1864" i="1"/>
  <c r="F1864" i="1"/>
  <c r="G1864" i="1"/>
  <c r="H1864" i="1"/>
  <c r="I1864" i="1"/>
  <c r="C1865" i="1"/>
  <c r="D1865" i="1"/>
  <c r="E1865" i="1"/>
  <c r="F1865" i="1"/>
  <c r="G1865" i="1"/>
  <c r="H1865" i="1"/>
  <c r="I1865" i="1"/>
  <c r="C1866" i="1"/>
  <c r="D1866" i="1"/>
  <c r="E1866" i="1"/>
  <c r="F1866" i="1"/>
  <c r="G1866" i="1"/>
  <c r="H1866" i="1"/>
  <c r="I1866" i="1"/>
  <c r="C1867" i="1"/>
  <c r="D1867" i="1"/>
  <c r="E1867" i="1"/>
  <c r="F1867" i="1"/>
  <c r="G1867" i="1"/>
  <c r="H1867" i="1"/>
  <c r="I1867" i="1"/>
  <c r="C1868" i="1"/>
  <c r="D1868" i="1"/>
  <c r="E1868" i="1"/>
  <c r="F1868" i="1"/>
  <c r="G1868" i="1"/>
  <c r="H1868" i="1"/>
  <c r="I1868" i="1"/>
  <c r="C2580" i="1"/>
  <c r="D2580" i="1"/>
  <c r="E2580" i="1"/>
  <c r="F2580" i="1"/>
  <c r="G2580" i="1"/>
  <c r="H2580" i="1"/>
  <c r="I2580" i="1"/>
  <c r="C2458" i="1"/>
  <c r="D2458" i="1"/>
  <c r="E2458" i="1"/>
  <c r="F2458" i="1"/>
  <c r="G2458" i="1"/>
  <c r="H2458" i="1"/>
  <c r="I2458" i="1"/>
  <c r="C1869" i="1"/>
  <c r="D1869" i="1"/>
  <c r="E1869" i="1"/>
  <c r="F1869" i="1"/>
  <c r="G1869" i="1"/>
  <c r="H1869" i="1"/>
  <c r="I1869" i="1"/>
  <c r="C1870" i="1"/>
  <c r="D1870" i="1"/>
  <c r="E1870" i="1"/>
  <c r="F1870" i="1"/>
  <c r="G1870" i="1"/>
  <c r="H1870" i="1"/>
  <c r="I1870" i="1"/>
  <c r="C1871" i="1"/>
  <c r="D1871" i="1"/>
  <c r="E1871" i="1"/>
  <c r="F1871" i="1"/>
  <c r="G1871" i="1"/>
  <c r="H1871" i="1"/>
  <c r="I1871" i="1"/>
  <c r="C1872" i="1"/>
  <c r="D1872" i="1"/>
  <c r="E1872" i="1"/>
  <c r="F1872" i="1"/>
  <c r="G1872" i="1"/>
  <c r="H1872" i="1"/>
  <c r="I1872" i="1"/>
  <c r="C1873" i="1"/>
  <c r="D1873" i="1"/>
  <c r="E1873" i="1"/>
  <c r="F1873" i="1"/>
  <c r="G1873" i="1"/>
  <c r="H1873" i="1"/>
  <c r="I1873" i="1"/>
  <c r="C1874" i="1"/>
  <c r="D1874" i="1"/>
  <c r="E1874" i="1"/>
  <c r="F1874" i="1"/>
  <c r="G1874" i="1"/>
  <c r="H1874" i="1"/>
  <c r="I1874" i="1"/>
  <c r="C1875" i="1"/>
  <c r="D1875" i="1"/>
  <c r="E1875" i="1"/>
  <c r="F1875" i="1"/>
  <c r="G1875" i="1"/>
  <c r="H1875" i="1"/>
  <c r="I1875" i="1"/>
  <c r="C1876" i="1"/>
  <c r="D1876" i="1"/>
  <c r="E1876" i="1"/>
  <c r="F1876" i="1"/>
  <c r="G1876" i="1"/>
  <c r="H1876" i="1"/>
  <c r="I1876" i="1"/>
  <c r="C1877" i="1"/>
  <c r="D1877" i="1"/>
  <c r="E1877" i="1"/>
  <c r="F1877" i="1"/>
  <c r="G1877" i="1"/>
  <c r="H1877" i="1"/>
  <c r="I1877" i="1"/>
  <c r="C1878" i="1"/>
  <c r="D1878" i="1"/>
  <c r="E1878" i="1"/>
  <c r="F1878" i="1"/>
  <c r="G1878" i="1"/>
  <c r="H1878" i="1"/>
  <c r="I1878" i="1"/>
  <c r="C1943" i="1"/>
  <c r="D1943" i="1"/>
  <c r="E1943" i="1"/>
  <c r="F1943" i="1"/>
  <c r="G1943" i="1"/>
  <c r="H1943" i="1"/>
  <c r="I1943" i="1"/>
  <c r="C1879" i="1"/>
  <c r="D1879" i="1"/>
  <c r="E1879" i="1"/>
  <c r="F1879" i="1"/>
  <c r="G1879" i="1"/>
  <c r="H1879" i="1"/>
  <c r="I1879" i="1"/>
  <c r="C4313" i="1"/>
  <c r="D4313" i="1"/>
  <c r="E4313" i="1"/>
  <c r="F4313" i="1"/>
  <c r="G4313" i="1"/>
  <c r="H4313" i="1"/>
  <c r="I4313" i="1"/>
  <c r="C1944" i="1"/>
  <c r="D1944" i="1"/>
  <c r="E1944" i="1"/>
  <c r="F1944" i="1"/>
  <c r="G1944" i="1"/>
  <c r="H1944" i="1"/>
  <c r="I1944" i="1"/>
  <c r="C1951" i="1"/>
  <c r="D1951" i="1"/>
  <c r="E1951" i="1"/>
  <c r="F1951" i="1"/>
  <c r="G1951" i="1"/>
  <c r="H1951" i="1"/>
  <c r="I1951" i="1"/>
  <c r="C1952" i="1"/>
  <c r="D1952" i="1"/>
  <c r="E1952" i="1"/>
  <c r="F1952" i="1"/>
  <c r="G1952" i="1"/>
  <c r="H1952" i="1"/>
  <c r="I1952" i="1"/>
  <c r="C1953" i="1"/>
  <c r="D1953" i="1"/>
  <c r="E1953" i="1"/>
  <c r="F1953" i="1"/>
  <c r="G1953" i="1"/>
  <c r="H1953" i="1"/>
  <c r="I1953" i="1"/>
  <c r="C1954" i="1"/>
  <c r="D1954" i="1"/>
  <c r="E1954" i="1"/>
  <c r="F1954" i="1"/>
  <c r="G1954" i="1"/>
  <c r="H1954" i="1"/>
  <c r="I1954" i="1"/>
  <c r="C1955" i="1"/>
  <c r="D1955" i="1"/>
  <c r="E1955" i="1"/>
  <c r="F1955" i="1"/>
  <c r="G1955" i="1"/>
  <c r="H1955" i="1"/>
  <c r="I1955" i="1"/>
  <c r="C1956" i="1"/>
  <c r="D1956" i="1"/>
  <c r="E1956" i="1"/>
  <c r="F1956" i="1"/>
  <c r="G1956" i="1"/>
  <c r="H1956" i="1"/>
  <c r="I1956" i="1"/>
  <c r="C1957" i="1"/>
  <c r="D1957" i="1"/>
  <c r="E1957" i="1"/>
  <c r="F1957" i="1"/>
  <c r="G1957" i="1"/>
  <c r="H1957" i="1"/>
  <c r="I1957" i="1"/>
  <c r="C1958" i="1"/>
  <c r="D1958" i="1"/>
  <c r="E1958" i="1"/>
  <c r="F1958" i="1"/>
  <c r="G1958" i="1"/>
  <c r="H1958" i="1"/>
  <c r="I1958" i="1"/>
  <c r="C1959" i="1"/>
  <c r="D1959" i="1"/>
  <c r="E1959" i="1"/>
  <c r="F1959" i="1"/>
  <c r="G1959" i="1"/>
  <c r="H1959" i="1"/>
  <c r="I1959" i="1"/>
  <c r="C1960" i="1"/>
  <c r="D1960" i="1"/>
  <c r="E1960" i="1"/>
  <c r="F1960" i="1"/>
  <c r="G1960" i="1"/>
  <c r="H1960" i="1"/>
  <c r="I1960" i="1"/>
  <c r="C1961" i="1"/>
  <c r="D1961" i="1"/>
  <c r="E1961" i="1"/>
  <c r="F1961" i="1"/>
  <c r="G1961" i="1"/>
  <c r="H1961" i="1"/>
  <c r="I1961" i="1"/>
  <c r="C1962" i="1"/>
  <c r="D1962" i="1"/>
  <c r="E1962" i="1"/>
  <c r="F1962" i="1"/>
  <c r="G1962" i="1"/>
  <c r="H1962" i="1"/>
  <c r="I1962" i="1"/>
  <c r="C1963" i="1"/>
  <c r="D1963" i="1"/>
  <c r="E1963" i="1"/>
  <c r="F1963" i="1"/>
  <c r="G1963" i="1"/>
  <c r="H1963" i="1"/>
  <c r="I1963" i="1"/>
  <c r="C1964" i="1"/>
  <c r="D1964" i="1"/>
  <c r="E1964" i="1"/>
  <c r="F1964" i="1"/>
  <c r="G1964" i="1"/>
  <c r="H1964" i="1"/>
  <c r="I1964" i="1"/>
  <c r="C1965" i="1"/>
  <c r="D1965" i="1"/>
  <c r="E1965" i="1"/>
  <c r="F1965" i="1"/>
  <c r="G1965" i="1"/>
  <c r="H1965" i="1"/>
  <c r="I1965" i="1"/>
  <c r="C1966" i="1"/>
  <c r="D1966" i="1"/>
  <c r="E1966" i="1"/>
  <c r="F1966" i="1"/>
  <c r="G1966" i="1"/>
  <c r="H1966" i="1"/>
  <c r="I1966" i="1"/>
  <c r="C1967" i="1"/>
  <c r="D1967" i="1"/>
  <c r="E1967" i="1"/>
  <c r="F1967" i="1"/>
  <c r="G1967" i="1"/>
  <c r="H1967" i="1"/>
  <c r="I1967" i="1"/>
  <c r="C1968" i="1"/>
  <c r="D1968" i="1"/>
  <c r="E1968" i="1"/>
  <c r="F1968" i="1"/>
  <c r="G1968" i="1"/>
  <c r="H1968" i="1"/>
  <c r="I1968" i="1"/>
  <c r="C1969" i="1"/>
  <c r="D1969" i="1"/>
  <c r="E1969" i="1"/>
  <c r="F1969" i="1"/>
  <c r="G1969" i="1"/>
  <c r="H1969" i="1"/>
  <c r="I1969" i="1"/>
  <c r="C1970" i="1"/>
  <c r="D1970" i="1"/>
  <c r="E1970" i="1"/>
  <c r="F1970" i="1"/>
  <c r="G1970" i="1"/>
  <c r="H1970" i="1"/>
  <c r="I1970" i="1"/>
  <c r="C1971" i="1"/>
  <c r="D1971" i="1"/>
  <c r="E1971" i="1"/>
  <c r="F1971" i="1"/>
  <c r="G1971" i="1"/>
  <c r="H1971" i="1"/>
  <c r="I1971" i="1"/>
  <c r="C1972" i="1"/>
  <c r="D1972" i="1"/>
  <c r="E1972" i="1"/>
  <c r="F1972" i="1"/>
  <c r="G1972" i="1"/>
  <c r="H1972" i="1"/>
  <c r="I1972" i="1"/>
  <c r="C1973" i="1"/>
  <c r="D1973" i="1"/>
  <c r="E1973" i="1"/>
  <c r="F1973" i="1"/>
  <c r="G1973" i="1"/>
  <c r="H1973" i="1"/>
  <c r="I1973" i="1"/>
  <c r="C1974" i="1"/>
  <c r="D1974" i="1"/>
  <c r="E1974" i="1"/>
  <c r="F1974" i="1"/>
  <c r="G1974" i="1"/>
  <c r="H1974" i="1"/>
  <c r="I1974" i="1"/>
  <c r="C1975" i="1"/>
  <c r="D1975" i="1"/>
  <c r="E1975" i="1"/>
  <c r="F1975" i="1"/>
  <c r="G1975" i="1"/>
  <c r="H1975" i="1"/>
  <c r="I1975" i="1"/>
  <c r="C1976" i="1"/>
  <c r="D1976" i="1"/>
  <c r="E1976" i="1"/>
  <c r="F1976" i="1"/>
  <c r="G1976" i="1"/>
  <c r="H1976" i="1"/>
  <c r="I1976" i="1"/>
  <c r="C1977" i="1"/>
  <c r="D1977" i="1"/>
  <c r="E1977" i="1"/>
  <c r="F1977" i="1"/>
  <c r="G1977" i="1"/>
  <c r="H1977" i="1"/>
  <c r="I1977" i="1"/>
  <c r="C1745" i="1"/>
  <c r="D1745" i="1"/>
  <c r="E1745" i="1"/>
  <c r="F1745" i="1"/>
  <c r="G1745" i="1"/>
  <c r="H1745" i="1"/>
  <c r="I1745" i="1"/>
  <c r="C1978" i="1"/>
  <c r="D1978" i="1"/>
  <c r="E1978" i="1"/>
  <c r="F1978" i="1"/>
  <c r="G1978" i="1"/>
  <c r="H1978" i="1"/>
  <c r="I1978" i="1"/>
  <c r="C1979" i="1"/>
  <c r="D1979" i="1"/>
  <c r="E1979" i="1"/>
  <c r="F1979" i="1"/>
  <c r="G1979" i="1"/>
  <c r="H1979" i="1"/>
  <c r="I1979" i="1"/>
  <c r="C1980" i="1"/>
  <c r="D1980" i="1"/>
  <c r="E1980" i="1"/>
  <c r="F1980" i="1"/>
  <c r="G1980" i="1"/>
  <c r="H1980" i="1"/>
  <c r="I1980" i="1"/>
  <c r="C1981" i="1"/>
  <c r="D1981" i="1"/>
  <c r="E1981" i="1"/>
  <c r="F1981" i="1"/>
  <c r="G1981" i="1"/>
  <c r="H1981" i="1"/>
  <c r="I1981" i="1"/>
  <c r="C1982" i="1"/>
  <c r="D1982" i="1"/>
  <c r="E1982" i="1"/>
  <c r="F1982" i="1"/>
  <c r="G1982" i="1"/>
  <c r="H1982" i="1"/>
  <c r="I1982" i="1"/>
  <c r="C1983" i="1"/>
  <c r="D1983" i="1"/>
  <c r="E1983" i="1"/>
  <c r="F1983" i="1"/>
  <c r="G1983" i="1"/>
  <c r="H1983" i="1"/>
  <c r="I1983" i="1"/>
  <c r="C1984" i="1"/>
  <c r="D1984" i="1"/>
  <c r="E1984" i="1"/>
  <c r="F1984" i="1"/>
  <c r="G1984" i="1"/>
  <c r="H1984" i="1"/>
  <c r="I1984" i="1"/>
  <c r="C1985" i="1"/>
  <c r="D1985" i="1"/>
  <c r="E1985" i="1"/>
  <c r="F1985" i="1"/>
  <c r="G1985" i="1"/>
  <c r="H1985" i="1"/>
  <c r="I1985" i="1"/>
  <c r="C1986" i="1"/>
  <c r="D1986" i="1"/>
  <c r="E1986" i="1"/>
  <c r="F1986" i="1"/>
  <c r="G1986" i="1"/>
  <c r="H1986" i="1"/>
  <c r="I1986" i="1"/>
  <c r="C1987" i="1"/>
  <c r="D1987" i="1"/>
  <c r="E1987" i="1"/>
  <c r="F1987" i="1"/>
  <c r="G1987" i="1"/>
  <c r="H1987" i="1"/>
  <c r="I1987" i="1"/>
  <c r="C1988" i="1"/>
  <c r="D1988" i="1"/>
  <c r="E1988" i="1"/>
  <c r="F1988" i="1"/>
  <c r="G1988" i="1"/>
  <c r="H1988" i="1"/>
  <c r="I1988" i="1"/>
  <c r="C3657" i="1"/>
  <c r="D3657" i="1"/>
  <c r="E3657" i="1"/>
  <c r="F3657" i="1"/>
  <c r="G3657" i="1"/>
  <c r="H3657" i="1"/>
  <c r="I3657" i="1"/>
  <c r="C1989" i="1"/>
  <c r="D1989" i="1"/>
  <c r="E1989" i="1"/>
  <c r="F1989" i="1"/>
  <c r="G1989" i="1"/>
  <c r="H1989" i="1"/>
  <c r="I1989" i="1"/>
  <c r="C1990" i="1"/>
  <c r="D1990" i="1"/>
  <c r="E1990" i="1"/>
  <c r="F1990" i="1"/>
  <c r="G1990" i="1"/>
  <c r="H1990" i="1"/>
  <c r="I1990" i="1"/>
  <c r="C1991" i="1"/>
  <c r="D1991" i="1"/>
  <c r="E1991" i="1"/>
  <c r="F1991" i="1"/>
  <c r="G1991" i="1"/>
  <c r="H1991" i="1"/>
  <c r="I1991" i="1"/>
  <c r="C1992" i="1"/>
  <c r="D1992" i="1"/>
  <c r="E1992" i="1"/>
  <c r="F1992" i="1"/>
  <c r="G1992" i="1"/>
  <c r="H1992" i="1"/>
  <c r="I1992" i="1"/>
  <c r="C1993" i="1"/>
  <c r="D1993" i="1"/>
  <c r="E1993" i="1"/>
  <c r="F1993" i="1"/>
  <c r="G1993" i="1"/>
  <c r="H1993" i="1"/>
  <c r="I1993" i="1"/>
  <c r="C1994" i="1"/>
  <c r="D1994" i="1"/>
  <c r="E1994" i="1"/>
  <c r="F1994" i="1"/>
  <c r="G1994" i="1"/>
  <c r="H1994" i="1"/>
  <c r="I1994" i="1"/>
  <c r="C1995" i="1"/>
  <c r="D1995" i="1"/>
  <c r="E1995" i="1"/>
  <c r="F1995" i="1"/>
  <c r="G1995" i="1"/>
  <c r="H1995" i="1"/>
  <c r="I1995" i="1"/>
  <c r="C1996" i="1"/>
  <c r="D1996" i="1"/>
  <c r="E1996" i="1"/>
  <c r="F1996" i="1"/>
  <c r="G1996" i="1"/>
  <c r="H1996" i="1"/>
  <c r="I1996" i="1"/>
  <c r="C1997" i="1"/>
  <c r="D1997" i="1"/>
  <c r="E1997" i="1"/>
  <c r="F1997" i="1"/>
  <c r="G1997" i="1"/>
  <c r="H1997" i="1"/>
  <c r="I1997" i="1"/>
  <c r="C1998" i="1"/>
  <c r="D1998" i="1"/>
  <c r="E1998" i="1"/>
  <c r="F1998" i="1"/>
  <c r="G1998" i="1"/>
  <c r="H1998" i="1"/>
  <c r="I1998" i="1"/>
  <c r="C1999" i="1"/>
  <c r="D1999" i="1"/>
  <c r="E1999" i="1"/>
  <c r="F1999" i="1"/>
  <c r="G1999" i="1"/>
  <c r="H1999" i="1"/>
  <c r="I1999" i="1"/>
  <c r="C2000" i="1"/>
  <c r="D2000" i="1"/>
  <c r="E2000" i="1"/>
  <c r="F2000" i="1"/>
  <c r="G2000" i="1"/>
  <c r="H2000" i="1"/>
  <c r="I2000" i="1"/>
  <c r="C2001" i="1"/>
  <c r="D2001" i="1"/>
  <c r="E2001" i="1"/>
  <c r="F2001" i="1"/>
  <c r="G2001" i="1"/>
  <c r="H2001" i="1"/>
  <c r="I2001" i="1"/>
  <c r="C2002" i="1"/>
  <c r="D2002" i="1"/>
  <c r="E2002" i="1"/>
  <c r="F2002" i="1"/>
  <c r="G2002" i="1"/>
  <c r="H2002" i="1"/>
  <c r="I2002" i="1"/>
  <c r="C2003" i="1"/>
  <c r="D2003" i="1"/>
  <c r="E2003" i="1"/>
  <c r="F2003" i="1"/>
  <c r="G2003" i="1"/>
  <c r="H2003" i="1"/>
  <c r="I2003" i="1"/>
  <c r="C2004" i="1"/>
  <c r="D2004" i="1"/>
  <c r="E2004" i="1"/>
  <c r="F2004" i="1"/>
  <c r="G2004" i="1"/>
  <c r="H2004" i="1"/>
  <c r="I2004" i="1"/>
  <c r="C2005" i="1"/>
  <c r="D2005" i="1"/>
  <c r="E2005" i="1"/>
  <c r="F2005" i="1"/>
  <c r="G2005" i="1"/>
  <c r="H2005" i="1"/>
  <c r="I2005" i="1"/>
  <c r="C2006" i="1"/>
  <c r="D2006" i="1"/>
  <c r="E2006" i="1"/>
  <c r="F2006" i="1"/>
  <c r="G2006" i="1"/>
  <c r="H2006" i="1"/>
  <c r="I2006" i="1"/>
  <c r="C2007" i="1"/>
  <c r="D2007" i="1"/>
  <c r="E2007" i="1"/>
  <c r="F2007" i="1"/>
  <c r="G2007" i="1"/>
  <c r="H2007" i="1"/>
  <c r="I2007" i="1"/>
  <c r="C2008" i="1"/>
  <c r="D2008" i="1"/>
  <c r="E2008" i="1"/>
  <c r="F2008" i="1"/>
  <c r="G2008" i="1"/>
  <c r="H2008" i="1"/>
  <c r="I2008" i="1"/>
  <c r="C2009" i="1"/>
  <c r="D2009" i="1"/>
  <c r="E2009" i="1"/>
  <c r="F2009" i="1"/>
  <c r="G2009" i="1"/>
  <c r="H2009" i="1"/>
  <c r="I2009" i="1"/>
  <c r="C2010" i="1"/>
  <c r="D2010" i="1"/>
  <c r="E2010" i="1"/>
  <c r="F2010" i="1"/>
  <c r="G2010" i="1"/>
  <c r="H2010" i="1"/>
  <c r="I2010" i="1"/>
  <c r="C2011" i="1"/>
  <c r="D2011" i="1"/>
  <c r="E2011" i="1"/>
  <c r="F2011" i="1"/>
  <c r="G2011" i="1"/>
  <c r="H2011" i="1"/>
  <c r="I2011" i="1"/>
  <c r="C2012" i="1"/>
  <c r="D2012" i="1"/>
  <c r="E2012" i="1"/>
  <c r="F2012" i="1"/>
  <c r="G2012" i="1"/>
  <c r="H2012" i="1"/>
  <c r="I2012" i="1"/>
  <c r="C2013" i="1"/>
  <c r="D2013" i="1"/>
  <c r="E2013" i="1"/>
  <c r="F2013" i="1"/>
  <c r="G2013" i="1"/>
  <c r="H2013" i="1"/>
  <c r="I2013" i="1"/>
  <c r="C2014" i="1"/>
  <c r="D2014" i="1"/>
  <c r="E2014" i="1"/>
  <c r="F2014" i="1"/>
  <c r="G2014" i="1"/>
  <c r="H2014" i="1"/>
  <c r="I2014" i="1"/>
  <c r="C2015" i="1"/>
  <c r="D2015" i="1"/>
  <c r="E2015" i="1"/>
  <c r="F2015" i="1"/>
  <c r="G2015" i="1"/>
  <c r="H2015" i="1"/>
  <c r="I2015" i="1"/>
  <c r="C2016" i="1"/>
  <c r="D2016" i="1"/>
  <c r="E2016" i="1"/>
  <c r="F2016" i="1"/>
  <c r="G2016" i="1"/>
  <c r="H2016" i="1"/>
  <c r="I2016" i="1"/>
  <c r="C2017" i="1"/>
  <c r="D2017" i="1"/>
  <c r="E2017" i="1"/>
  <c r="F2017" i="1"/>
  <c r="G2017" i="1"/>
  <c r="H2017" i="1"/>
  <c r="I2017" i="1"/>
  <c r="C2018" i="1"/>
  <c r="D2018" i="1"/>
  <c r="E2018" i="1"/>
  <c r="F2018" i="1"/>
  <c r="G2018" i="1"/>
  <c r="H2018" i="1"/>
  <c r="I2018" i="1"/>
  <c r="C2019" i="1"/>
  <c r="D2019" i="1"/>
  <c r="E2019" i="1"/>
  <c r="F2019" i="1"/>
  <c r="G2019" i="1"/>
  <c r="H2019" i="1"/>
  <c r="I2019" i="1"/>
  <c r="C2080" i="1"/>
  <c r="D2080" i="1"/>
  <c r="E2080" i="1"/>
  <c r="F2080" i="1"/>
  <c r="G2080" i="1"/>
  <c r="H2080" i="1"/>
  <c r="I2080" i="1"/>
  <c r="C2081" i="1"/>
  <c r="D2081" i="1"/>
  <c r="E2081" i="1"/>
  <c r="F2081" i="1"/>
  <c r="G2081" i="1"/>
  <c r="H2081" i="1"/>
  <c r="I2081" i="1"/>
  <c r="C2082" i="1"/>
  <c r="D2082" i="1"/>
  <c r="E2082" i="1"/>
  <c r="F2082" i="1"/>
  <c r="G2082" i="1"/>
  <c r="H2082" i="1"/>
  <c r="I2082" i="1"/>
  <c r="C2083" i="1"/>
  <c r="D2083" i="1"/>
  <c r="E2083" i="1"/>
  <c r="F2083" i="1"/>
  <c r="G2083" i="1"/>
  <c r="H2083" i="1"/>
  <c r="I2083" i="1"/>
  <c r="C2084" i="1"/>
  <c r="D2084" i="1"/>
  <c r="E2084" i="1"/>
  <c r="F2084" i="1"/>
  <c r="G2084" i="1"/>
  <c r="H2084" i="1"/>
  <c r="I2084" i="1"/>
  <c r="C2085" i="1"/>
  <c r="D2085" i="1"/>
  <c r="E2085" i="1"/>
  <c r="F2085" i="1"/>
  <c r="G2085" i="1"/>
  <c r="H2085" i="1"/>
  <c r="I2085" i="1"/>
  <c r="C2086" i="1"/>
  <c r="D2086" i="1"/>
  <c r="E2086" i="1"/>
  <c r="F2086" i="1"/>
  <c r="G2086" i="1"/>
  <c r="H2086" i="1"/>
  <c r="I2086" i="1"/>
  <c r="C2087" i="1"/>
  <c r="D2087" i="1"/>
  <c r="E2087" i="1"/>
  <c r="F2087" i="1"/>
  <c r="G2087" i="1"/>
  <c r="H2087" i="1"/>
  <c r="I2087" i="1"/>
  <c r="C2088" i="1"/>
  <c r="D2088" i="1"/>
  <c r="E2088" i="1"/>
  <c r="F2088" i="1"/>
  <c r="G2088" i="1"/>
  <c r="H2088" i="1"/>
  <c r="I2088" i="1"/>
  <c r="C2089" i="1"/>
  <c r="D2089" i="1"/>
  <c r="E2089" i="1"/>
  <c r="F2089" i="1"/>
  <c r="G2089" i="1"/>
  <c r="H2089" i="1"/>
  <c r="I2089" i="1"/>
  <c r="C2090" i="1"/>
  <c r="D2090" i="1"/>
  <c r="E2090" i="1"/>
  <c r="F2090" i="1"/>
  <c r="G2090" i="1"/>
  <c r="H2090" i="1"/>
  <c r="I2090" i="1"/>
  <c r="C2091" i="1"/>
  <c r="D2091" i="1"/>
  <c r="E2091" i="1"/>
  <c r="F2091" i="1"/>
  <c r="G2091" i="1"/>
  <c r="H2091" i="1"/>
  <c r="I2091" i="1"/>
  <c r="C2092" i="1"/>
  <c r="D2092" i="1"/>
  <c r="E2092" i="1"/>
  <c r="F2092" i="1"/>
  <c r="G2092" i="1"/>
  <c r="H2092" i="1"/>
  <c r="I2092" i="1"/>
  <c r="C2093" i="1"/>
  <c r="D2093" i="1"/>
  <c r="E2093" i="1"/>
  <c r="F2093" i="1"/>
  <c r="G2093" i="1"/>
  <c r="H2093" i="1"/>
  <c r="I2093" i="1"/>
  <c r="C2094" i="1"/>
  <c r="D2094" i="1"/>
  <c r="E2094" i="1"/>
  <c r="F2094" i="1"/>
  <c r="G2094" i="1"/>
  <c r="H2094" i="1"/>
  <c r="I2094" i="1"/>
  <c r="C2095" i="1"/>
  <c r="D2095" i="1"/>
  <c r="E2095" i="1"/>
  <c r="F2095" i="1"/>
  <c r="G2095" i="1"/>
  <c r="H2095" i="1"/>
  <c r="I2095" i="1"/>
  <c r="C2096" i="1"/>
  <c r="D2096" i="1"/>
  <c r="E2096" i="1"/>
  <c r="F2096" i="1"/>
  <c r="G2096" i="1"/>
  <c r="H2096" i="1"/>
  <c r="I2096" i="1"/>
  <c r="C2097" i="1"/>
  <c r="D2097" i="1"/>
  <c r="E2097" i="1"/>
  <c r="F2097" i="1"/>
  <c r="G2097" i="1"/>
  <c r="H2097" i="1"/>
  <c r="I2097" i="1"/>
  <c r="C2098" i="1"/>
  <c r="D2098" i="1"/>
  <c r="E2098" i="1"/>
  <c r="F2098" i="1"/>
  <c r="G2098" i="1"/>
  <c r="H2098" i="1"/>
  <c r="I2098" i="1"/>
  <c r="C2099" i="1"/>
  <c r="D2099" i="1"/>
  <c r="E2099" i="1"/>
  <c r="F2099" i="1"/>
  <c r="G2099" i="1"/>
  <c r="H2099" i="1"/>
  <c r="I2099" i="1"/>
  <c r="C2100" i="1"/>
  <c r="D2100" i="1"/>
  <c r="E2100" i="1"/>
  <c r="F2100" i="1"/>
  <c r="G2100" i="1"/>
  <c r="H2100" i="1"/>
  <c r="I2100" i="1"/>
  <c r="C2101" i="1"/>
  <c r="D2101" i="1"/>
  <c r="E2101" i="1"/>
  <c r="F2101" i="1"/>
  <c r="G2101" i="1"/>
  <c r="H2101" i="1"/>
  <c r="I2101" i="1"/>
  <c r="C2102" i="1"/>
  <c r="D2102" i="1"/>
  <c r="E2102" i="1"/>
  <c r="F2102" i="1"/>
  <c r="G2102" i="1"/>
  <c r="H2102" i="1"/>
  <c r="I2102" i="1"/>
  <c r="C2103" i="1"/>
  <c r="D2103" i="1"/>
  <c r="E2103" i="1"/>
  <c r="F2103" i="1"/>
  <c r="G2103" i="1"/>
  <c r="H2103" i="1"/>
  <c r="I2103" i="1"/>
  <c r="C2104" i="1"/>
  <c r="D2104" i="1"/>
  <c r="E2104" i="1"/>
  <c r="F2104" i="1"/>
  <c r="G2104" i="1"/>
  <c r="H2104" i="1"/>
  <c r="I2104" i="1"/>
  <c r="C2105" i="1"/>
  <c r="D2105" i="1"/>
  <c r="E2105" i="1"/>
  <c r="F2105" i="1"/>
  <c r="G2105" i="1"/>
  <c r="H2105" i="1"/>
  <c r="I2105" i="1"/>
  <c r="C2106" i="1"/>
  <c r="D2106" i="1"/>
  <c r="E2106" i="1"/>
  <c r="F2106" i="1"/>
  <c r="G2106" i="1"/>
  <c r="H2106" i="1"/>
  <c r="I2106" i="1"/>
  <c r="C2107" i="1"/>
  <c r="D2107" i="1"/>
  <c r="E2107" i="1"/>
  <c r="F2107" i="1"/>
  <c r="G2107" i="1"/>
  <c r="H2107" i="1"/>
  <c r="I2107" i="1"/>
  <c r="C2108" i="1"/>
  <c r="D2108" i="1"/>
  <c r="E2108" i="1"/>
  <c r="F2108" i="1"/>
  <c r="G2108" i="1"/>
  <c r="H2108" i="1"/>
  <c r="I2108" i="1"/>
  <c r="C2109" i="1"/>
  <c r="D2109" i="1"/>
  <c r="E2109" i="1"/>
  <c r="F2109" i="1"/>
  <c r="G2109" i="1"/>
  <c r="H2109" i="1"/>
  <c r="I2109" i="1"/>
  <c r="C2110" i="1"/>
  <c r="D2110" i="1"/>
  <c r="E2110" i="1"/>
  <c r="F2110" i="1"/>
  <c r="G2110" i="1"/>
  <c r="H2110" i="1"/>
  <c r="I2110" i="1"/>
  <c r="C2111" i="1"/>
  <c r="D2111" i="1"/>
  <c r="E2111" i="1"/>
  <c r="F2111" i="1"/>
  <c r="G2111" i="1"/>
  <c r="H2111" i="1"/>
  <c r="I2111" i="1"/>
  <c r="C2908" i="1"/>
  <c r="D2908" i="1"/>
  <c r="E2908" i="1"/>
  <c r="F2908" i="1"/>
  <c r="G2908" i="1"/>
  <c r="H2908" i="1"/>
  <c r="I2908" i="1"/>
  <c r="C2112" i="1"/>
  <c r="D2112" i="1"/>
  <c r="E2112" i="1"/>
  <c r="F2112" i="1"/>
  <c r="G2112" i="1"/>
  <c r="H2112" i="1"/>
  <c r="I2112" i="1"/>
  <c r="C2113" i="1"/>
  <c r="D2113" i="1"/>
  <c r="E2113" i="1"/>
  <c r="F2113" i="1"/>
  <c r="G2113" i="1"/>
  <c r="H2113" i="1"/>
  <c r="I2113" i="1"/>
  <c r="C2114" i="1"/>
  <c r="D2114" i="1"/>
  <c r="E2114" i="1"/>
  <c r="F2114" i="1"/>
  <c r="G2114" i="1"/>
  <c r="H2114" i="1"/>
  <c r="I2114" i="1"/>
  <c r="C2115" i="1"/>
  <c r="D2115" i="1"/>
  <c r="E2115" i="1"/>
  <c r="F2115" i="1"/>
  <c r="G2115" i="1"/>
  <c r="H2115" i="1"/>
  <c r="I2115" i="1"/>
  <c r="C2116" i="1"/>
  <c r="D2116" i="1"/>
  <c r="E2116" i="1"/>
  <c r="F2116" i="1"/>
  <c r="G2116" i="1"/>
  <c r="H2116" i="1"/>
  <c r="I2116" i="1"/>
  <c r="C2117" i="1"/>
  <c r="D2117" i="1"/>
  <c r="E2117" i="1"/>
  <c r="F2117" i="1"/>
  <c r="G2117" i="1"/>
  <c r="H2117" i="1"/>
  <c r="I2117" i="1"/>
  <c r="C2118" i="1"/>
  <c r="D2118" i="1"/>
  <c r="E2118" i="1"/>
  <c r="F2118" i="1"/>
  <c r="G2118" i="1"/>
  <c r="H2118" i="1"/>
  <c r="I2118" i="1"/>
  <c r="C2119" i="1"/>
  <c r="D2119" i="1"/>
  <c r="E2119" i="1"/>
  <c r="F2119" i="1"/>
  <c r="G2119" i="1"/>
  <c r="H2119" i="1"/>
  <c r="I2119" i="1"/>
  <c r="C2120" i="1"/>
  <c r="D2120" i="1"/>
  <c r="E2120" i="1"/>
  <c r="F2120" i="1"/>
  <c r="G2120" i="1"/>
  <c r="H2120" i="1"/>
  <c r="I2120" i="1"/>
  <c r="C2121" i="1"/>
  <c r="D2121" i="1"/>
  <c r="E2121" i="1"/>
  <c r="F2121" i="1"/>
  <c r="G2121" i="1"/>
  <c r="H2121" i="1"/>
  <c r="I2121" i="1"/>
  <c r="C2122" i="1"/>
  <c r="D2122" i="1"/>
  <c r="E2122" i="1"/>
  <c r="F2122" i="1"/>
  <c r="G2122" i="1"/>
  <c r="H2122" i="1"/>
  <c r="I2122" i="1"/>
  <c r="C2323" i="1"/>
  <c r="D2323" i="1"/>
  <c r="E2323" i="1"/>
  <c r="F2323" i="1"/>
  <c r="G2323" i="1"/>
  <c r="H2323" i="1"/>
  <c r="I2323" i="1"/>
  <c r="C2123" i="1"/>
  <c r="D2123" i="1"/>
  <c r="E2123" i="1"/>
  <c r="F2123" i="1"/>
  <c r="G2123" i="1"/>
  <c r="H2123" i="1"/>
  <c r="I2123" i="1"/>
  <c r="C2124" i="1"/>
  <c r="D2124" i="1"/>
  <c r="E2124" i="1"/>
  <c r="F2124" i="1"/>
  <c r="G2124" i="1"/>
  <c r="H2124" i="1"/>
  <c r="I2124" i="1"/>
  <c r="C2125" i="1"/>
  <c r="D2125" i="1"/>
  <c r="E2125" i="1"/>
  <c r="F2125" i="1"/>
  <c r="G2125" i="1"/>
  <c r="H2125" i="1"/>
  <c r="I2125" i="1"/>
  <c r="C2126" i="1"/>
  <c r="D2126" i="1"/>
  <c r="E2126" i="1"/>
  <c r="F2126" i="1"/>
  <c r="G2126" i="1"/>
  <c r="H2126" i="1"/>
  <c r="I2126" i="1"/>
  <c r="C2127" i="1"/>
  <c r="D2127" i="1"/>
  <c r="E2127" i="1"/>
  <c r="F2127" i="1"/>
  <c r="G2127" i="1"/>
  <c r="H2127" i="1"/>
  <c r="I2127" i="1"/>
  <c r="C2128" i="1"/>
  <c r="D2128" i="1"/>
  <c r="E2128" i="1"/>
  <c r="F2128" i="1"/>
  <c r="G2128" i="1"/>
  <c r="H2128" i="1"/>
  <c r="I2128" i="1"/>
  <c r="C2129" i="1"/>
  <c r="D2129" i="1"/>
  <c r="E2129" i="1"/>
  <c r="F2129" i="1"/>
  <c r="G2129" i="1"/>
  <c r="H2129" i="1"/>
  <c r="I2129" i="1"/>
  <c r="C2130" i="1"/>
  <c r="D2130" i="1"/>
  <c r="E2130" i="1"/>
  <c r="F2130" i="1"/>
  <c r="G2130" i="1"/>
  <c r="H2130" i="1"/>
  <c r="I2130" i="1"/>
  <c r="C2131" i="1"/>
  <c r="D2131" i="1"/>
  <c r="E2131" i="1"/>
  <c r="F2131" i="1"/>
  <c r="G2131" i="1"/>
  <c r="H2131" i="1"/>
  <c r="I2131" i="1"/>
  <c r="C2132" i="1"/>
  <c r="D2132" i="1"/>
  <c r="E2132" i="1"/>
  <c r="F2132" i="1"/>
  <c r="G2132" i="1"/>
  <c r="H2132" i="1"/>
  <c r="I2132" i="1"/>
  <c r="C2133" i="1"/>
  <c r="D2133" i="1"/>
  <c r="E2133" i="1"/>
  <c r="F2133" i="1"/>
  <c r="G2133" i="1"/>
  <c r="H2133" i="1"/>
  <c r="I2133" i="1"/>
  <c r="C2134" i="1"/>
  <c r="D2134" i="1"/>
  <c r="E2134" i="1"/>
  <c r="F2134" i="1"/>
  <c r="G2134" i="1"/>
  <c r="H2134" i="1"/>
  <c r="I2134" i="1"/>
  <c r="C2135" i="1"/>
  <c r="D2135" i="1"/>
  <c r="E2135" i="1"/>
  <c r="F2135" i="1"/>
  <c r="G2135" i="1"/>
  <c r="H2135" i="1"/>
  <c r="I2135" i="1"/>
  <c r="C2136" i="1"/>
  <c r="D2136" i="1"/>
  <c r="E2136" i="1"/>
  <c r="F2136" i="1"/>
  <c r="G2136" i="1"/>
  <c r="H2136" i="1"/>
  <c r="I2136" i="1"/>
  <c r="C2215" i="1"/>
  <c r="D2215" i="1"/>
  <c r="E2215" i="1"/>
  <c r="F2215" i="1"/>
  <c r="G2215" i="1"/>
  <c r="H2215" i="1"/>
  <c r="I2215" i="1"/>
  <c r="C2216" i="1"/>
  <c r="D2216" i="1"/>
  <c r="E2216" i="1"/>
  <c r="F2216" i="1"/>
  <c r="G2216" i="1"/>
  <c r="H2216" i="1"/>
  <c r="I2216" i="1"/>
  <c r="C2217" i="1"/>
  <c r="D2217" i="1"/>
  <c r="E2217" i="1"/>
  <c r="F2217" i="1"/>
  <c r="G2217" i="1"/>
  <c r="H2217" i="1"/>
  <c r="I2217" i="1"/>
  <c r="C2218" i="1"/>
  <c r="D2218" i="1"/>
  <c r="E2218" i="1"/>
  <c r="F2218" i="1"/>
  <c r="G2218" i="1"/>
  <c r="H2218" i="1"/>
  <c r="I2218" i="1"/>
  <c r="C2219" i="1"/>
  <c r="D2219" i="1"/>
  <c r="E2219" i="1"/>
  <c r="F2219" i="1"/>
  <c r="G2219" i="1"/>
  <c r="H2219" i="1"/>
  <c r="I2219" i="1"/>
  <c r="C2220" i="1"/>
  <c r="D2220" i="1"/>
  <c r="E2220" i="1"/>
  <c r="F2220" i="1"/>
  <c r="G2220" i="1"/>
  <c r="H2220" i="1"/>
  <c r="I2220" i="1"/>
  <c r="C2221" i="1"/>
  <c r="D2221" i="1"/>
  <c r="E2221" i="1"/>
  <c r="F2221" i="1"/>
  <c r="G2221" i="1"/>
  <c r="H2221" i="1"/>
  <c r="I2221" i="1"/>
  <c r="C2222" i="1"/>
  <c r="D2222" i="1"/>
  <c r="E2222" i="1"/>
  <c r="F2222" i="1"/>
  <c r="G2222" i="1"/>
  <c r="H2222" i="1"/>
  <c r="I2222" i="1"/>
  <c r="C2223" i="1"/>
  <c r="D2223" i="1"/>
  <c r="E2223" i="1"/>
  <c r="F2223" i="1"/>
  <c r="G2223" i="1"/>
  <c r="H2223" i="1"/>
  <c r="I2223" i="1"/>
  <c r="C1746" i="1"/>
  <c r="D1746" i="1"/>
  <c r="E1746" i="1"/>
  <c r="F1746" i="1"/>
  <c r="G1746" i="1"/>
  <c r="H1746" i="1"/>
  <c r="I1746" i="1"/>
  <c r="C2224" i="1"/>
  <c r="D2224" i="1"/>
  <c r="E2224" i="1"/>
  <c r="F2224" i="1"/>
  <c r="G2224" i="1"/>
  <c r="H2224" i="1"/>
  <c r="I2224" i="1"/>
  <c r="C2225" i="1"/>
  <c r="D2225" i="1"/>
  <c r="E2225" i="1"/>
  <c r="F2225" i="1"/>
  <c r="G2225" i="1"/>
  <c r="H2225" i="1"/>
  <c r="I2225" i="1"/>
  <c r="C2226" i="1"/>
  <c r="D2226" i="1"/>
  <c r="E2226" i="1"/>
  <c r="F2226" i="1"/>
  <c r="G2226" i="1"/>
  <c r="H2226" i="1"/>
  <c r="I2226" i="1"/>
  <c r="C2227" i="1"/>
  <c r="D2227" i="1"/>
  <c r="E2227" i="1"/>
  <c r="F2227" i="1"/>
  <c r="G2227" i="1"/>
  <c r="H2227" i="1"/>
  <c r="I2227" i="1"/>
  <c r="C2228" i="1"/>
  <c r="D2228" i="1"/>
  <c r="E2228" i="1"/>
  <c r="F2228" i="1"/>
  <c r="G2228" i="1"/>
  <c r="H2228" i="1"/>
  <c r="I2228" i="1"/>
  <c r="C2229" i="1"/>
  <c r="D2229" i="1"/>
  <c r="E2229" i="1"/>
  <c r="F2229" i="1"/>
  <c r="G2229" i="1"/>
  <c r="H2229" i="1"/>
  <c r="I2229" i="1"/>
  <c r="C2230" i="1"/>
  <c r="D2230" i="1"/>
  <c r="E2230" i="1"/>
  <c r="F2230" i="1"/>
  <c r="G2230" i="1"/>
  <c r="H2230" i="1"/>
  <c r="I2230" i="1"/>
  <c r="C2231" i="1"/>
  <c r="D2231" i="1"/>
  <c r="E2231" i="1"/>
  <c r="F2231" i="1"/>
  <c r="G2231" i="1"/>
  <c r="H2231" i="1"/>
  <c r="I2231" i="1"/>
  <c r="C2232" i="1"/>
  <c r="D2232" i="1"/>
  <c r="E2232" i="1"/>
  <c r="F2232" i="1"/>
  <c r="G2232" i="1"/>
  <c r="H2232" i="1"/>
  <c r="I2232" i="1"/>
  <c r="C2233" i="1"/>
  <c r="D2233" i="1"/>
  <c r="E2233" i="1"/>
  <c r="F2233" i="1"/>
  <c r="G2233" i="1"/>
  <c r="H2233" i="1"/>
  <c r="I2233" i="1"/>
  <c r="C2234" i="1"/>
  <c r="D2234" i="1"/>
  <c r="E2234" i="1"/>
  <c r="F2234" i="1"/>
  <c r="G2234" i="1"/>
  <c r="H2234" i="1"/>
  <c r="I2234" i="1"/>
  <c r="C2235" i="1"/>
  <c r="D2235" i="1"/>
  <c r="E2235" i="1"/>
  <c r="F2235" i="1"/>
  <c r="G2235" i="1"/>
  <c r="H2235" i="1"/>
  <c r="I2235" i="1"/>
  <c r="C2236" i="1"/>
  <c r="D2236" i="1"/>
  <c r="E2236" i="1"/>
  <c r="F2236" i="1"/>
  <c r="G2236" i="1"/>
  <c r="H2236" i="1"/>
  <c r="I2236" i="1"/>
  <c r="C2237" i="1"/>
  <c r="D2237" i="1"/>
  <c r="E2237" i="1"/>
  <c r="F2237" i="1"/>
  <c r="G2237" i="1"/>
  <c r="H2237" i="1"/>
  <c r="I2237" i="1"/>
  <c r="C2238" i="1"/>
  <c r="D2238" i="1"/>
  <c r="E2238" i="1"/>
  <c r="F2238" i="1"/>
  <c r="G2238" i="1"/>
  <c r="H2238" i="1"/>
  <c r="I2238" i="1"/>
  <c r="C2239" i="1"/>
  <c r="D2239" i="1"/>
  <c r="E2239" i="1"/>
  <c r="F2239" i="1"/>
  <c r="G2239" i="1"/>
  <c r="H2239" i="1"/>
  <c r="I2239" i="1"/>
  <c r="C2240" i="1"/>
  <c r="D2240" i="1"/>
  <c r="E2240" i="1"/>
  <c r="F2240" i="1"/>
  <c r="G2240" i="1"/>
  <c r="H2240" i="1"/>
  <c r="I2240" i="1"/>
  <c r="C2241" i="1"/>
  <c r="D2241" i="1"/>
  <c r="E2241" i="1"/>
  <c r="F2241" i="1"/>
  <c r="G2241" i="1"/>
  <c r="H2241" i="1"/>
  <c r="I2241" i="1"/>
  <c r="C2242" i="1"/>
  <c r="D2242" i="1"/>
  <c r="E2242" i="1"/>
  <c r="F2242" i="1"/>
  <c r="G2242" i="1"/>
  <c r="H2242" i="1"/>
  <c r="I2242" i="1"/>
  <c r="C2243" i="1"/>
  <c r="D2243" i="1"/>
  <c r="E2243" i="1"/>
  <c r="F2243" i="1"/>
  <c r="G2243" i="1"/>
  <c r="H2243" i="1"/>
  <c r="I2243" i="1"/>
  <c r="C2244" i="1"/>
  <c r="D2244" i="1"/>
  <c r="E2244" i="1"/>
  <c r="F2244" i="1"/>
  <c r="G2244" i="1"/>
  <c r="H2244" i="1"/>
  <c r="I2244" i="1"/>
  <c r="C2245" i="1"/>
  <c r="D2245" i="1"/>
  <c r="E2245" i="1"/>
  <c r="F2245" i="1"/>
  <c r="G2245" i="1"/>
  <c r="H2245" i="1"/>
  <c r="I2245" i="1"/>
  <c r="C2246" i="1"/>
  <c r="D2246" i="1"/>
  <c r="E2246" i="1"/>
  <c r="F2246" i="1"/>
  <c r="G2246" i="1"/>
  <c r="H2246" i="1"/>
  <c r="I2246" i="1"/>
  <c r="C2247" i="1"/>
  <c r="D2247" i="1"/>
  <c r="E2247" i="1"/>
  <c r="F2247" i="1"/>
  <c r="G2247" i="1"/>
  <c r="H2247" i="1"/>
  <c r="I2247" i="1"/>
  <c r="C2581" i="1"/>
  <c r="D2581" i="1"/>
  <c r="E2581" i="1"/>
  <c r="F2581" i="1"/>
  <c r="G2581" i="1"/>
  <c r="H2581" i="1"/>
  <c r="I2581" i="1"/>
  <c r="C2248" i="1"/>
  <c r="D2248" i="1"/>
  <c r="E2248" i="1"/>
  <c r="F2248" i="1"/>
  <c r="G2248" i="1"/>
  <c r="H2248" i="1"/>
  <c r="I2248" i="1"/>
  <c r="C2249" i="1"/>
  <c r="D2249" i="1"/>
  <c r="E2249" i="1"/>
  <c r="F2249" i="1"/>
  <c r="G2249" i="1"/>
  <c r="H2249" i="1"/>
  <c r="I2249" i="1"/>
  <c r="C2250" i="1"/>
  <c r="D2250" i="1"/>
  <c r="E2250" i="1"/>
  <c r="F2250" i="1"/>
  <c r="G2250" i="1"/>
  <c r="H2250" i="1"/>
  <c r="I2250" i="1"/>
  <c r="C2251" i="1"/>
  <c r="D2251" i="1"/>
  <c r="E2251" i="1"/>
  <c r="F2251" i="1"/>
  <c r="G2251" i="1"/>
  <c r="H2251" i="1"/>
  <c r="I2251" i="1"/>
  <c r="C2252" i="1"/>
  <c r="D2252" i="1"/>
  <c r="E2252" i="1"/>
  <c r="F2252" i="1"/>
  <c r="G2252" i="1"/>
  <c r="H2252" i="1"/>
  <c r="I2252" i="1"/>
  <c r="C2253" i="1"/>
  <c r="D2253" i="1"/>
  <c r="E2253" i="1"/>
  <c r="F2253" i="1"/>
  <c r="G2253" i="1"/>
  <c r="H2253" i="1"/>
  <c r="I2253" i="1"/>
  <c r="C2254" i="1"/>
  <c r="D2254" i="1"/>
  <c r="E2254" i="1"/>
  <c r="F2254" i="1"/>
  <c r="G2254" i="1"/>
  <c r="H2254" i="1"/>
  <c r="I2254" i="1"/>
  <c r="C2255" i="1"/>
  <c r="D2255" i="1"/>
  <c r="E2255" i="1"/>
  <c r="F2255" i="1"/>
  <c r="G2255" i="1"/>
  <c r="H2255" i="1"/>
  <c r="I2255" i="1"/>
  <c r="C2256" i="1"/>
  <c r="D2256" i="1"/>
  <c r="E2256" i="1"/>
  <c r="F2256" i="1"/>
  <c r="G2256" i="1"/>
  <c r="H2256" i="1"/>
  <c r="I2256" i="1"/>
  <c r="C2257" i="1"/>
  <c r="D2257" i="1"/>
  <c r="E2257" i="1"/>
  <c r="F2257" i="1"/>
  <c r="G2257" i="1"/>
  <c r="H2257" i="1"/>
  <c r="I2257" i="1"/>
  <c r="C2258" i="1"/>
  <c r="D2258" i="1"/>
  <c r="E2258" i="1"/>
  <c r="F2258" i="1"/>
  <c r="G2258" i="1"/>
  <c r="H2258" i="1"/>
  <c r="I2258" i="1"/>
  <c r="C2259" i="1"/>
  <c r="D2259" i="1"/>
  <c r="E2259" i="1"/>
  <c r="F2259" i="1"/>
  <c r="G2259" i="1"/>
  <c r="H2259" i="1"/>
  <c r="I2259" i="1"/>
  <c r="C2307" i="1"/>
  <c r="D2307" i="1"/>
  <c r="E2307" i="1"/>
  <c r="F2307" i="1"/>
  <c r="G2307" i="1"/>
  <c r="H2307" i="1"/>
  <c r="I2307" i="1"/>
  <c r="C2308" i="1"/>
  <c r="D2308" i="1"/>
  <c r="E2308" i="1"/>
  <c r="F2308" i="1"/>
  <c r="G2308" i="1"/>
  <c r="H2308" i="1"/>
  <c r="I2308" i="1"/>
  <c r="C2309" i="1"/>
  <c r="D2309" i="1"/>
  <c r="E2309" i="1"/>
  <c r="F2309" i="1"/>
  <c r="G2309" i="1"/>
  <c r="H2309" i="1"/>
  <c r="I2309" i="1"/>
  <c r="C2310" i="1"/>
  <c r="D2310" i="1"/>
  <c r="E2310" i="1"/>
  <c r="F2310" i="1"/>
  <c r="G2310" i="1"/>
  <c r="H2310" i="1"/>
  <c r="I2310" i="1"/>
  <c r="C2311" i="1"/>
  <c r="D2311" i="1"/>
  <c r="E2311" i="1"/>
  <c r="F2311" i="1"/>
  <c r="G2311" i="1"/>
  <c r="H2311" i="1"/>
  <c r="I2311" i="1"/>
  <c r="C2313" i="1"/>
  <c r="D2313" i="1"/>
  <c r="E2313" i="1"/>
  <c r="F2313" i="1"/>
  <c r="G2313" i="1"/>
  <c r="H2313" i="1"/>
  <c r="I2313" i="1"/>
  <c r="C2315" i="1"/>
  <c r="D2315" i="1"/>
  <c r="E2315" i="1"/>
  <c r="F2315" i="1"/>
  <c r="G2315" i="1"/>
  <c r="H2315" i="1"/>
  <c r="I2315" i="1"/>
  <c r="C2316" i="1"/>
  <c r="D2316" i="1"/>
  <c r="E2316" i="1"/>
  <c r="F2316" i="1"/>
  <c r="G2316" i="1"/>
  <c r="H2316" i="1"/>
  <c r="I2316" i="1"/>
  <c r="C2317" i="1"/>
  <c r="D2317" i="1"/>
  <c r="E2317" i="1"/>
  <c r="F2317" i="1"/>
  <c r="G2317" i="1"/>
  <c r="H2317" i="1"/>
  <c r="I2317" i="1"/>
  <c r="C3278" i="1"/>
  <c r="D3278" i="1"/>
  <c r="E3278" i="1"/>
  <c r="F3278" i="1"/>
  <c r="G3278" i="1"/>
  <c r="H3278" i="1"/>
  <c r="I3278" i="1"/>
  <c r="C2260" i="1"/>
  <c r="D2260" i="1"/>
  <c r="E2260" i="1"/>
  <c r="F2260" i="1"/>
  <c r="G2260" i="1"/>
  <c r="H2260" i="1"/>
  <c r="I2260" i="1"/>
  <c r="C2261" i="1"/>
  <c r="D2261" i="1"/>
  <c r="E2261" i="1"/>
  <c r="F2261" i="1"/>
  <c r="G2261" i="1"/>
  <c r="H2261" i="1"/>
  <c r="I2261" i="1"/>
  <c r="C2262" i="1"/>
  <c r="D2262" i="1"/>
  <c r="E2262" i="1"/>
  <c r="F2262" i="1"/>
  <c r="G2262" i="1"/>
  <c r="H2262" i="1"/>
  <c r="I2262" i="1"/>
  <c r="C2263" i="1"/>
  <c r="D2263" i="1"/>
  <c r="E2263" i="1"/>
  <c r="F2263" i="1"/>
  <c r="G2263" i="1"/>
  <c r="H2263" i="1"/>
  <c r="I2263" i="1"/>
  <c r="C2264" i="1"/>
  <c r="D2264" i="1"/>
  <c r="E2264" i="1"/>
  <c r="F2264" i="1"/>
  <c r="G2264" i="1"/>
  <c r="H2264" i="1"/>
  <c r="I2264" i="1"/>
  <c r="C2265" i="1"/>
  <c r="D2265" i="1"/>
  <c r="E2265" i="1"/>
  <c r="F2265" i="1"/>
  <c r="G2265" i="1"/>
  <c r="H2265" i="1"/>
  <c r="I2265" i="1"/>
  <c r="C2266" i="1"/>
  <c r="D2266" i="1"/>
  <c r="E2266" i="1"/>
  <c r="F2266" i="1"/>
  <c r="G2266" i="1"/>
  <c r="H2266" i="1"/>
  <c r="I2266" i="1"/>
  <c r="C2267" i="1"/>
  <c r="D2267" i="1"/>
  <c r="E2267" i="1"/>
  <c r="F2267" i="1"/>
  <c r="G2267" i="1"/>
  <c r="H2267" i="1"/>
  <c r="I2267" i="1"/>
  <c r="C2268" i="1"/>
  <c r="D2268" i="1"/>
  <c r="E2268" i="1"/>
  <c r="F2268" i="1"/>
  <c r="G2268" i="1"/>
  <c r="H2268" i="1"/>
  <c r="I2268" i="1"/>
  <c r="C2269" i="1"/>
  <c r="D2269" i="1"/>
  <c r="E2269" i="1"/>
  <c r="F2269" i="1"/>
  <c r="G2269" i="1"/>
  <c r="H2269" i="1"/>
  <c r="I2269" i="1"/>
  <c r="C2270" i="1"/>
  <c r="D2270" i="1"/>
  <c r="E2270" i="1"/>
  <c r="F2270" i="1"/>
  <c r="G2270" i="1"/>
  <c r="H2270" i="1"/>
  <c r="I2270" i="1"/>
  <c r="C2271" i="1"/>
  <c r="D2271" i="1"/>
  <c r="E2271" i="1"/>
  <c r="F2271" i="1"/>
  <c r="G2271" i="1"/>
  <c r="H2271" i="1"/>
  <c r="I2271" i="1"/>
  <c r="C2272" i="1"/>
  <c r="D2272" i="1"/>
  <c r="E2272" i="1"/>
  <c r="F2272" i="1"/>
  <c r="G2272" i="1"/>
  <c r="H2272" i="1"/>
  <c r="I2272" i="1"/>
  <c r="C2273" i="1"/>
  <c r="D2273" i="1"/>
  <c r="E2273" i="1"/>
  <c r="F2273" i="1"/>
  <c r="G2273" i="1"/>
  <c r="H2273" i="1"/>
  <c r="I2273" i="1"/>
  <c r="C2274" i="1"/>
  <c r="D2274" i="1"/>
  <c r="E2274" i="1"/>
  <c r="F2274" i="1"/>
  <c r="G2274" i="1"/>
  <c r="H2274" i="1"/>
  <c r="I2274" i="1"/>
  <c r="C2275" i="1"/>
  <c r="D2275" i="1"/>
  <c r="E2275" i="1"/>
  <c r="F2275" i="1"/>
  <c r="G2275" i="1"/>
  <c r="H2275" i="1"/>
  <c r="I2275" i="1"/>
  <c r="C2324" i="1"/>
  <c r="D2324" i="1"/>
  <c r="E2324" i="1"/>
  <c r="F2324" i="1"/>
  <c r="G2324" i="1"/>
  <c r="H2324" i="1"/>
  <c r="I2324" i="1"/>
  <c r="C2325" i="1"/>
  <c r="D2325" i="1"/>
  <c r="E2325" i="1"/>
  <c r="F2325" i="1"/>
  <c r="G2325" i="1"/>
  <c r="H2325" i="1"/>
  <c r="I2325" i="1"/>
  <c r="C2326" i="1"/>
  <c r="D2326" i="1"/>
  <c r="E2326" i="1"/>
  <c r="F2326" i="1"/>
  <c r="G2326" i="1"/>
  <c r="H2326" i="1"/>
  <c r="I2326" i="1"/>
  <c r="C2327" i="1"/>
  <c r="D2327" i="1"/>
  <c r="E2327" i="1"/>
  <c r="F2327" i="1"/>
  <c r="G2327" i="1"/>
  <c r="H2327" i="1"/>
  <c r="I2327" i="1"/>
  <c r="C2328" i="1"/>
  <c r="D2328" i="1"/>
  <c r="E2328" i="1"/>
  <c r="F2328" i="1"/>
  <c r="G2328" i="1"/>
  <c r="H2328" i="1"/>
  <c r="I2328" i="1"/>
  <c r="C2020" i="1"/>
  <c r="D2020" i="1"/>
  <c r="E2020" i="1"/>
  <c r="F2020" i="1"/>
  <c r="G2020" i="1"/>
  <c r="H2020" i="1"/>
  <c r="I2020" i="1"/>
  <c r="C2329" i="1"/>
  <c r="D2329" i="1"/>
  <c r="E2329" i="1"/>
  <c r="F2329" i="1"/>
  <c r="G2329" i="1"/>
  <c r="H2329" i="1"/>
  <c r="I2329" i="1"/>
  <c r="C2330" i="1"/>
  <c r="D2330" i="1"/>
  <c r="E2330" i="1"/>
  <c r="F2330" i="1"/>
  <c r="G2330" i="1"/>
  <c r="H2330" i="1"/>
  <c r="I2330" i="1"/>
  <c r="C2331" i="1"/>
  <c r="D2331" i="1"/>
  <c r="E2331" i="1"/>
  <c r="F2331" i="1"/>
  <c r="G2331" i="1"/>
  <c r="H2331" i="1"/>
  <c r="I2331" i="1"/>
  <c r="C2332" i="1"/>
  <c r="D2332" i="1"/>
  <c r="E2332" i="1"/>
  <c r="F2332" i="1"/>
  <c r="G2332" i="1"/>
  <c r="H2332" i="1"/>
  <c r="I2332" i="1"/>
  <c r="C2333" i="1"/>
  <c r="D2333" i="1"/>
  <c r="E2333" i="1"/>
  <c r="F2333" i="1"/>
  <c r="G2333" i="1"/>
  <c r="H2333" i="1"/>
  <c r="I2333" i="1"/>
  <c r="C2334" i="1"/>
  <c r="D2334" i="1"/>
  <c r="E2334" i="1"/>
  <c r="F2334" i="1"/>
  <c r="G2334" i="1"/>
  <c r="H2334" i="1"/>
  <c r="I2334" i="1"/>
  <c r="C2335" i="1"/>
  <c r="D2335" i="1"/>
  <c r="E2335" i="1"/>
  <c r="F2335" i="1"/>
  <c r="G2335" i="1"/>
  <c r="H2335" i="1"/>
  <c r="I2335" i="1"/>
  <c r="C2336" i="1"/>
  <c r="D2336" i="1"/>
  <c r="E2336" i="1"/>
  <c r="F2336" i="1"/>
  <c r="G2336" i="1"/>
  <c r="H2336" i="1"/>
  <c r="I2336" i="1"/>
  <c r="C2337" i="1"/>
  <c r="D2337" i="1"/>
  <c r="E2337" i="1"/>
  <c r="F2337" i="1"/>
  <c r="G2337" i="1"/>
  <c r="H2337" i="1"/>
  <c r="I2337" i="1"/>
  <c r="C2338" i="1"/>
  <c r="D2338" i="1"/>
  <c r="E2338" i="1"/>
  <c r="F2338" i="1"/>
  <c r="G2338" i="1"/>
  <c r="H2338" i="1"/>
  <c r="I2338" i="1"/>
  <c r="C2339" i="1"/>
  <c r="D2339" i="1"/>
  <c r="E2339" i="1"/>
  <c r="F2339" i="1"/>
  <c r="G2339" i="1"/>
  <c r="H2339" i="1"/>
  <c r="I2339" i="1"/>
  <c r="C2340" i="1"/>
  <c r="D2340" i="1"/>
  <c r="E2340" i="1"/>
  <c r="F2340" i="1"/>
  <c r="G2340" i="1"/>
  <c r="H2340" i="1"/>
  <c r="I2340" i="1"/>
  <c r="C2341" i="1"/>
  <c r="D2341" i="1"/>
  <c r="E2341" i="1"/>
  <c r="F2341" i="1"/>
  <c r="G2341" i="1"/>
  <c r="H2341" i="1"/>
  <c r="I2341" i="1"/>
  <c r="C2342" i="1"/>
  <c r="D2342" i="1"/>
  <c r="E2342" i="1"/>
  <c r="F2342" i="1"/>
  <c r="G2342" i="1"/>
  <c r="H2342" i="1"/>
  <c r="I2342" i="1"/>
  <c r="C2343" i="1"/>
  <c r="D2343" i="1"/>
  <c r="E2343" i="1"/>
  <c r="F2343" i="1"/>
  <c r="G2343" i="1"/>
  <c r="H2343" i="1"/>
  <c r="I2343" i="1"/>
  <c r="C2344" i="1"/>
  <c r="D2344" i="1"/>
  <c r="E2344" i="1"/>
  <c r="F2344" i="1"/>
  <c r="G2344" i="1"/>
  <c r="H2344" i="1"/>
  <c r="I2344" i="1"/>
  <c r="C2345" i="1"/>
  <c r="D2345" i="1"/>
  <c r="E2345" i="1"/>
  <c r="F2345" i="1"/>
  <c r="G2345" i="1"/>
  <c r="H2345" i="1"/>
  <c r="I2345" i="1"/>
  <c r="C2346" i="1"/>
  <c r="D2346" i="1"/>
  <c r="E2346" i="1"/>
  <c r="F2346" i="1"/>
  <c r="G2346" i="1"/>
  <c r="H2346" i="1"/>
  <c r="I2346" i="1"/>
  <c r="C2347" i="1"/>
  <c r="D2347" i="1"/>
  <c r="E2347" i="1"/>
  <c r="F2347" i="1"/>
  <c r="G2347" i="1"/>
  <c r="H2347" i="1"/>
  <c r="I2347" i="1"/>
  <c r="C2348" i="1"/>
  <c r="D2348" i="1"/>
  <c r="E2348" i="1"/>
  <c r="F2348" i="1"/>
  <c r="G2348" i="1"/>
  <c r="H2348" i="1"/>
  <c r="I2348" i="1"/>
  <c r="C2349" i="1"/>
  <c r="D2349" i="1"/>
  <c r="E2349" i="1"/>
  <c r="F2349" i="1"/>
  <c r="G2349" i="1"/>
  <c r="H2349" i="1"/>
  <c r="I2349" i="1"/>
  <c r="C2350" i="1"/>
  <c r="D2350" i="1"/>
  <c r="E2350" i="1"/>
  <c r="F2350" i="1"/>
  <c r="G2350" i="1"/>
  <c r="H2350" i="1"/>
  <c r="I2350" i="1"/>
  <c r="C2441" i="1"/>
  <c r="D2441" i="1"/>
  <c r="E2441" i="1"/>
  <c r="F2441" i="1"/>
  <c r="G2441" i="1"/>
  <c r="H2441" i="1"/>
  <c r="I2441" i="1"/>
  <c r="C2447" i="1"/>
  <c r="D2447" i="1"/>
  <c r="E2447" i="1"/>
  <c r="F2447" i="1"/>
  <c r="G2447" i="1"/>
  <c r="H2447" i="1"/>
  <c r="I2447" i="1"/>
  <c r="C2437" i="1"/>
  <c r="D2437" i="1"/>
  <c r="E2437" i="1"/>
  <c r="F2437" i="1"/>
  <c r="G2437" i="1"/>
  <c r="H2437" i="1"/>
  <c r="I2437" i="1"/>
  <c r="C2439" i="1"/>
  <c r="D2439" i="1"/>
  <c r="E2439" i="1"/>
  <c r="F2439" i="1"/>
  <c r="G2439" i="1"/>
  <c r="H2439" i="1"/>
  <c r="I2439" i="1"/>
  <c r="C2440" i="1"/>
  <c r="D2440" i="1"/>
  <c r="E2440" i="1"/>
  <c r="F2440" i="1"/>
  <c r="G2440" i="1"/>
  <c r="H2440" i="1"/>
  <c r="I2440" i="1"/>
  <c r="C2443" i="1"/>
  <c r="D2443" i="1"/>
  <c r="E2443" i="1"/>
  <c r="F2443" i="1"/>
  <c r="G2443" i="1"/>
  <c r="H2443" i="1"/>
  <c r="I2443" i="1"/>
  <c r="C2444" i="1"/>
  <c r="D2444" i="1"/>
  <c r="E2444" i="1"/>
  <c r="F2444" i="1"/>
  <c r="G2444" i="1"/>
  <c r="H2444" i="1"/>
  <c r="I2444" i="1"/>
  <c r="C2445" i="1"/>
  <c r="D2445" i="1"/>
  <c r="E2445" i="1"/>
  <c r="F2445" i="1"/>
  <c r="G2445" i="1"/>
  <c r="H2445" i="1"/>
  <c r="I2445" i="1"/>
  <c r="C2446" i="1"/>
  <c r="D2446" i="1"/>
  <c r="E2446" i="1"/>
  <c r="F2446" i="1"/>
  <c r="G2446" i="1"/>
  <c r="H2446" i="1"/>
  <c r="I2446" i="1"/>
  <c r="C2351" i="1"/>
  <c r="D2351" i="1"/>
  <c r="E2351" i="1"/>
  <c r="F2351" i="1"/>
  <c r="G2351" i="1"/>
  <c r="H2351" i="1"/>
  <c r="I2351" i="1"/>
  <c r="C3705" i="1"/>
  <c r="D3705" i="1"/>
  <c r="E3705" i="1"/>
  <c r="F3705" i="1"/>
  <c r="G3705" i="1"/>
  <c r="H3705" i="1"/>
  <c r="I3705" i="1"/>
  <c r="C2352" i="1"/>
  <c r="D2352" i="1"/>
  <c r="E2352" i="1"/>
  <c r="F2352" i="1"/>
  <c r="G2352" i="1"/>
  <c r="H2352" i="1"/>
  <c r="I2352" i="1"/>
  <c r="C2353" i="1"/>
  <c r="D2353" i="1"/>
  <c r="E2353" i="1"/>
  <c r="F2353" i="1"/>
  <c r="G2353" i="1"/>
  <c r="H2353" i="1"/>
  <c r="I2353" i="1"/>
  <c r="C2354" i="1"/>
  <c r="D2354" i="1"/>
  <c r="E2354" i="1"/>
  <c r="F2354" i="1"/>
  <c r="G2354" i="1"/>
  <c r="H2354" i="1"/>
  <c r="I2354" i="1"/>
  <c r="C2355" i="1"/>
  <c r="D2355" i="1"/>
  <c r="E2355" i="1"/>
  <c r="F2355" i="1"/>
  <c r="G2355" i="1"/>
  <c r="H2355" i="1"/>
  <c r="I2355" i="1"/>
  <c r="C2356" i="1"/>
  <c r="D2356" i="1"/>
  <c r="E2356" i="1"/>
  <c r="F2356" i="1"/>
  <c r="G2356" i="1"/>
  <c r="H2356" i="1"/>
  <c r="I2356" i="1"/>
  <c r="C2357" i="1"/>
  <c r="D2357" i="1"/>
  <c r="E2357" i="1"/>
  <c r="F2357" i="1"/>
  <c r="G2357" i="1"/>
  <c r="H2357" i="1"/>
  <c r="I2357" i="1"/>
  <c r="C2358" i="1"/>
  <c r="D2358" i="1"/>
  <c r="E2358" i="1"/>
  <c r="F2358" i="1"/>
  <c r="G2358" i="1"/>
  <c r="H2358" i="1"/>
  <c r="I2358" i="1"/>
  <c r="C2359" i="1"/>
  <c r="D2359" i="1"/>
  <c r="E2359" i="1"/>
  <c r="F2359" i="1"/>
  <c r="G2359" i="1"/>
  <c r="H2359" i="1"/>
  <c r="I2359" i="1"/>
  <c r="C2360" i="1"/>
  <c r="D2360" i="1"/>
  <c r="E2360" i="1"/>
  <c r="F2360" i="1"/>
  <c r="G2360" i="1"/>
  <c r="H2360" i="1"/>
  <c r="I2360" i="1"/>
  <c r="C2361" i="1"/>
  <c r="D2361" i="1"/>
  <c r="E2361" i="1"/>
  <c r="F2361" i="1"/>
  <c r="G2361" i="1"/>
  <c r="H2361" i="1"/>
  <c r="I2361" i="1"/>
  <c r="C2362" i="1"/>
  <c r="D2362" i="1"/>
  <c r="E2362" i="1"/>
  <c r="F2362" i="1"/>
  <c r="G2362" i="1"/>
  <c r="H2362" i="1"/>
  <c r="I2362" i="1"/>
  <c r="C2363" i="1"/>
  <c r="D2363" i="1"/>
  <c r="E2363" i="1"/>
  <c r="F2363" i="1"/>
  <c r="G2363" i="1"/>
  <c r="H2363" i="1"/>
  <c r="I2363" i="1"/>
  <c r="C2364" i="1"/>
  <c r="D2364" i="1"/>
  <c r="E2364" i="1"/>
  <c r="F2364" i="1"/>
  <c r="G2364" i="1"/>
  <c r="H2364" i="1"/>
  <c r="I2364" i="1"/>
  <c r="C2365" i="1"/>
  <c r="D2365" i="1"/>
  <c r="E2365" i="1"/>
  <c r="F2365" i="1"/>
  <c r="G2365" i="1"/>
  <c r="H2365" i="1"/>
  <c r="I2365" i="1"/>
  <c r="C2366" i="1"/>
  <c r="D2366" i="1"/>
  <c r="E2366" i="1"/>
  <c r="F2366" i="1"/>
  <c r="G2366" i="1"/>
  <c r="H2366" i="1"/>
  <c r="I2366" i="1"/>
  <c r="C2367" i="1"/>
  <c r="D2367" i="1"/>
  <c r="E2367" i="1"/>
  <c r="F2367" i="1"/>
  <c r="G2367" i="1"/>
  <c r="H2367" i="1"/>
  <c r="I2367" i="1"/>
  <c r="C2368" i="1"/>
  <c r="D2368" i="1"/>
  <c r="E2368" i="1"/>
  <c r="F2368" i="1"/>
  <c r="G2368" i="1"/>
  <c r="H2368" i="1"/>
  <c r="I2368" i="1"/>
  <c r="C2369" i="1"/>
  <c r="D2369" i="1"/>
  <c r="E2369" i="1"/>
  <c r="F2369" i="1"/>
  <c r="G2369" i="1"/>
  <c r="H2369" i="1"/>
  <c r="I2369" i="1"/>
  <c r="C2370" i="1"/>
  <c r="D2370" i="1"/>
  <c r="E2370" i="1"/>
  <c r="F2370" i="1"/>
  <c r="G2370" i="1"/>
  <c r="H2370" i="1"/>
  <c r="I2370" i="1"/>
  <c r="C2371" i="1"/>
  <c r="D2371" i="1"/>
  <c r="E2371" i="1"/>
  <c r="F2371" i="1"/>
  <c r="G2371" i="1"/>
  <c r="H2371" i="1"/>
  <c r="I2371" i="1"/>
  <c r="C2372" i="1"/>
  <c r="D2372" i="1"/>
  <c r="E2372" i="1"/>
  <c r="F2372" i="1"/>
  <c r="G2372" i="1"/>
  <c r="H2372" i="1"/>
  <c r="I2372" i="1"/>
  <c r="C2373" i="1"/>
  <c r="D2373" i="1"/>
  <c r="E2373" i="1"/>
  <c r="F2373" i="1"/>
  <c r="G2373" i="1"/>
  <c r="H2373" i="1"/>
  <c r="I2373" i="1"/>
  <c r="C2374" i="1"/>
  <c r="D2374" i="1"/>
  <c r="E2374" i="1"/>
  <c r="F2374" i="1"/>
  <c r="G2374" i="1"/>
  <c r="H2374" i="1"/>
  <c r="I2374" i="1"/>
  <c r="C2375" i="1"/>
  <c r="D2375" i="1"/>
  <c r="E2375" i="1"/>
  <c r="F2375" i="1"/>
  <c r="G2375" i="1"/>
  <c r="H2375" i="1"/>
  <c r="I2375" i="1"/>
  <c r="C2376" i="1"/>
  <c r="D2376" i="1"/>
  <c r="E2376" i="1"/>
  <c r="F2376" i="1"/>
  <c r="G2376" i="1"/>
  <c r="H2376" i="1"/>
  <c r="I2376" i="1"/>
  <c r="C2377" i="1"/>
  <c r="D2377" i="1"/>
  <c r="E2377" i="1"/>
  <c r="F2377" i="1"/>
  <c r="G2377" i="1"/>
  <c r="H2377" i="1"/>
  <c r="I2377" i="1"/>
  <c r="C2378" i="1"/>
  <c r="D2378" i="1"/>
  <c r="E2378" i="1"/>
  <c r="F2378" i="1"/>
  <c r="G2378" i="1"/>
  <c r="H2378" i="1"/>
  <c r="I2378" i="1"/>
  <c r="C2379" i="1"/>
  <c r="D2379" i="1"/>
  <c r="E2379" i="1"/>
  <c r="F2379" i="1"/>
  <c r="G2379" i="1"/>
  <c r="H2379" i="1"/>
  <c r="I2379" i="1"/>
  <c r="C2582" i="1"/>
  <c r="D2582" i="1"/>
  <c r="E2582" i="1"/>
  <c r="F2582" i="1"/>
  <c r="G2582" i="1"/>
  <c r="H2582" i="1"/>
  <c r="I2582" i="1"/>
  <c r="C2380" i="1"/>
  <c r="D2380" i="1"/>
  <c r="E2380" i="1"/>
  <c r="F2380" i="1"/>
  <c r="G2380" i="1"/>
  <c r="H2380" i="1"/>
  <c r="I2380" i="1"/>
  <c r="C2381" i="1"/>
  <c r="D2381" i="1"/>
  <c r="E2381" i="1"/>
  <c r="F2381" i="1"/>
  <c r="G2381" i="1"/>
  <c r="H2381" i="1"/>
  <c r="I2381" i="1"/>
  <c r="C2382" i="1"/>
  <c r="D2382" i="1"/>
  <c r="E2382" i="1"/>
  <c r="F2382" i="1"/>
  <c r="G2382" i="1"/>
  <c r="H2382" i="1"/>
  <c r="I2382" i="1"/>
  <c r="C2383" i="1"/>
  <c r="D2383" i="1"/>
  <c r="E2383" i="1"/>
  <c r="F2383" i="1"/>
  <c r="G2383" i="1"/>
  <c r="H2383" i="1"/>
  <c r="I2383" i="1"/>
  <c r="C2384" i="1"/>
  <c r="D2384" i="1"/>
  <c r="E2384" i="1"/>
  <c r="F2384" i="1"/>
  <c r="G2384" i="1"/>
  <c r="H2384" i="1"/>
  <c r="I2384" i="1"/>
  <c r="C2385" i="1"/>
  <c r="D2385" i="1"/>
  <c r="E2385" i="1"/>
  <c r="F2385" i="1"/>
  <c r="G2385" i="1"/>
  <c r="H2385" i="1"/>
  <c r="I2385" i="1"/>
  <c r="C2386" i="1"/>
  <c r="D2386" i="1"/>
  <c r="E2386" i="1"/>
  <c r="F2386" i="1"/>
  <c r="G2386" i="1"/>
  <c r="H2386" i="1"/>
  <c r="I2386" i="1"/>
  <c r="C2387" i="1"/>
  <c r="D2387" i="1"/>
  <c r="E2387" i="1"/>
  <c r="F2387" i="1"/>
  <c r="G2387" i="1"/>
  <c r="H2387" i="1"/>
  <c r="I2387" i="1"/>
  <c r="C2388" i="1"/>
  <c r="D2388" i="1"/>
  <c r="E2388" i="1"/>
  <c r="F2388" i="1"/>
  <c r="G2388" i="1"/>
  <c r="H2388" i="1"/>
  <c r="I2388" i="1"/>
  <c r="C2389" i="1"/>
  <c r="D2389" i="1"/>
  <c r="E2389" i="1"/>
  <c r="F2389" i="1"/>
  <c r="G2389" i="1"/>
  <c r="H2389" i="1"/>
  <c r="I2389" i="1"/>
  <c r="C2390" i="1"/>
  <c r="D2390" i="1"/>
  <c r="E2390" i="1"/>
  <c r="F2390" i="1"/>
  <c r="G2390" i="1"/>
  <c r="H2390" i="1"/>
  <c r="I2390" i="1"/>
  <c r="C2391" i="1"/>
  <c r="D2391" i="1"/>
  <c r="E2391" i="1"/>
  <c r="F2391" i="1"/>
  <c r="G2391" i="1"/>
  <c r="H2391" i="1"/>
  <c r="I2391" i="1"/>
  <c r="C2392" i="1"/>
  <c r="D2392" i="1"/>
  <c r="E2392" i="1"/>
  <c r="F2392" i="1"/>
  <c r="G2392" i="1"/>
  <c r="H2392" i="1"/>
  <c r="I2392" i="1"/>
  <c r="C2393" i="1"/>
  <c r="D2393" i="1"/>
  <c r="E2393" i="1"/>
  <c r="F2393" i="1"/>
  <c r="G2393" i="1"/>
  <c r="H2393" i="1"/>
  <c r="I2393" i="1"/>
  <c r="C2394" i="1"/>
  <c r="D2394" i="1"/>
  <c r="E2394" i="1"/>
  <c r="F2394" i="1"/>
  <c r="G2394" i="1"/>
  <c r="H2394" i="1"/>
  <c r="I2394" i="1"/>
  <c r="C2448" i="1"/>
  <c r="D2448" i="1"/>
  <c r="E2448" i="1"/>
  <c r="F2448" i="1"/>
  <c r="G2448" i="1"/>
  <c r="H2448" i="1"/>
  <c r="I2448" i="1"/>
  <c r="C2450" i="1"/>
  <c r="D2450" i="1"/>
  <c r="E2450" i="1"/>
  <c r="F2450" i="1"/>
  <c r="G2450" i="1"/>
  <c r="H2450" i="1"/>
  <c r="I2450" i="1"/>
  <c r="C2453" i="1"/>
  <c r="D2453" i="1"/>
  <c r="E2453" i="1"/>
  <c r="F2453" i="1"/>
  <c r="G2453" i="1"/>
  <c r="H2453" i="1"/>
  <c r="I2453" i="1"/>
  <c r="C2395" i="1"/>
  <c r="D2395" i="1"/>
  <c r="E2395" i="1"/>
  <c r="F2395" i="1"/>
  <c r="G2395" i="1"/>
  <c r="H2395" i="1"/>
  <c r="I2395" i="1"/>
  <c r="C2396" i="1"/>
  <c r="D2396" i="1"/>
  <c r="E2396" i="1"/>
  <c r="F2396" i="1"/>
  <c r="G2396" i="1"/>
  <c r="H2396" i="1"/>
  <c r="I2396" i="1"/>
  <c r="C2397" i="1"/>
  <c r="D2397" i="1"/>
  <c r="E2397" i="1"/>
  <c r="F2397" i="1"/>
  <c r="G2397" i="1"/>
  <c r="H2397" i="1"/>
  <c r="I2397" i="1"/>
  <c r="C2398" i="1"/>
  <c r="D2398" i="1"/>
  <c r="E2398" i="1"/>
  <c r="F2398" i="1"/>
  <c r="G2398" i="1"/>
  <c r="H2398" i="1"/>
  <c r="I2398" i="1"/>
  <c r="C2399" i="1"/>
  <c r="D2399" i="1"/>
  <c r="E2399" i="1"/>
  <c r="F2399" i="1"/>
  <c r="G2399" i="1"/>
  <c r="H2399" i="1"/>
  <c r="I2399" i="1"/>
  <c r="C2400" i="1"/>
  <c r="D2400" i="1"/>
  <c r="E2400" i="1"/>
  <c r="F2400" i="1"/>
  <c r="G2400" i="1"/>
  <c r="H2400" i="1"/>
  <c r="I2400" i="1"/>
  <c r="C2561" i="1"/>
  <c r="D2561" i="1"/>
  <c r="E2561" i="1"/>
  <c r="F2561" i="1"/>
  <c r="G2561" i="1"/>
  <c r="H2561" i="1"/>
  <c r="I2561" i="1"/>
  <c r="C2459" i="1"/>
  <c r="D2459" i="1"/>
  <c r="E2459" i="1"/>
  <c r="F2459" i="1"/>
  <c r="G2459" i="1"/>
  <c r="H2459" i="1"/>
  <c r="I2459" i="1"/>
  <c r="C2460" i="1"/>
  <c r="D2460" i="1"/>
  <c r="E2460" i="1"/>
  <c r="F2460" i="1"/>
  <c r="G2460" i="1"/>
  <c r="H2460" i="1"/>
  <c r="I2460" i="1"/>
  <c r="C2461" i="1"/>
  <c r="D2461" i="1"/>
  <c r="E2461" i="1"/>
  <c r="F2461" i="1"/>
  <c r="G2461" i="1"/>
  <c r="H2461" i="1"/>
  <c r="I2461" i="1"/>
  <c r="C2462" i="1"/>
  <c r="D2462" i="1"/>
  <c r="E2462" i="1"/>
  <c r="F2462" i="1"/>
  <c r="G2462" i="1"/>
  <c r="H2462" i="1"/>
  <c r="I2462" i="1"/>
  <c r="C2463" i="1"/>
  <c r="D2463" i="1"/>
  <c r="E2463" i="1"/>
  <c r="F2463" i="1"/>
  <c r="G2463" i="1"/>
  <c r="H2463" i="1"/>
  <c r="I2463" i="1"/>
  <c r="C2464" i="1"/>
  <c r="D2464" i="1"/>
  <c r="E2464" i="1"/>
  <c r="F2464" i="1"/>
  <c r="G2464" i="1"/>
  <c r="H2464" i="1"/>
  <c r="I2464" i="1"/>
  <c r="C2465" i="1"/>
  <c r="D2465" i="1"/>
  <c r="E2465" i="1"/>
  <c r="F2465" i="1"/>
  <c r="G2465" i="1"/>
  <c r="H2465" i="1"/>
  <c r="I2465" i="1"/>
  <c r="C2466" i="1"/>
  <c r="D2466" i="1"/>
  <c r="E2466" i="1"/>
  <c r="F2466" i="1"/>
  <c r="G2466" i="1"/>
  <c r="H2466" i="1"/>
  <c r="I2466" i="1"/>
  <c r="C2467" i="1"/>
  <c r="D2467" i="1"/>
  <c r="E2467" i="1"/>
  <c r="F2467" i="1"/>
  <c r="G2467" i="1"/>
  <c r="H2467" i="1"/>
  <c r="I2467" i="1"/>
  <c r="C2468" i="1"/>
  <c r="D2468" i="1"/>
  <c r="E2468" i="1"/>
  <c r="F2468" i="1"/>
  <c r="G2468" i="1"/>
  <c r="H2468" i="1"/>
  <c r="I2468" i="1"/>
  <c r="C2469" i="1"/>
  <c r="D2469" i="1"/>
  <c r="E2469" i="1"/>
  <c r="F2469" i="1"/>
  <c r="G2469" i="1"/>
  <c r="H2469" i="1"/>
  <c r="I2469" i="1"/>
  <c r="C2470" i="1"/>
  <c r="D2470" i="1"/>
  <c r="E2470" i="1"/>
  <c r="F2470" i="1"/>
  <c r="G2470" i="1"/>
  <c r="H2470" i="1"/>
  <c r="I2470" i="1"/>
  <c r="C2471" i="1"/>
  <c r="D2471" i="1"/>
  <c r="E2471" i="1"/>
  <c r="F2471" i="1"/>
  <c r="G2471" i="1"/>
  <c r="H2471" i="1"/>
  <c r="I2471" i="1"/>
  <c r="C2472" i="1"/>
  <c r="D2472" i="1"/>
  <c r="E2472" i="1"/>
  <c r="F2472" i="1"/>
  <c r="G2472" i="1"/>
  <c r="H2472" i="1"/>
  <c r="I2472" i="1"/>
  <c r="C2473" i="1"/>
  <c r="D2473" i="1"/>
  <c r="E2473" i="1"/>
  <c r="F2473" i="1"/>
  <c r="G2473" i="1"/>
  <c r="H2473" i="1"/>
  <c r="I2473" i="1"/>
  <c r="C2474" i="1"/>
  <c r="D2474" i="1"/>
  <c r="E2474" i="1"/>
  <c r="F2474" i="1"/>
  <c r="G2474" i="1"/>
  <c r="H2474" i="1"/>
  <c r="I2474" i="1"/>
  <c r="C2475" i="1"/>
  <c r="D2475" i="1"/>
  <c r="E2475" i="1"/>
  <c r="F2475" i="1"/>
  <c r="G2475" i="1"/>
  <c r="H2475" i="1"/>
  <c r="I2475" i="1"/>
  <c r="C2476" i="1"/>
  <c r="D2476" i="1"/>
  <c r="E2476" i="1"/>
  <c r="F2476" i="1"/>
  <c r="G2476" i="1"/>
  <c r="H2476" i="1"/>
  <c r="I2476" i="1"/>
  <c r="C2477" i="1"/>
  <c r="D2477" i="1"/>
  <c r="E2477" i="1"/>
  <c r="F2477" i="1"/>
  <c r="G2477" i="1"/>
  <c r="H2477" i="1"/>
  <c r="I2477" i="1"/>
  <c r="C2478" i="1"/>
  <c r="D2478" i="1"/>
  <c r="E2478" i="1"/>
  <c r="F2478" i="1"/>
  <c r="G2478" i="1"/>
  <c r="H2478" i="1"/>
  <c r="I2478" i="1"/>
  <c r="C2479" i="1"/>
  <c r="D2479" i="1"/>
  <c r="E2479" i="1"/>
  <c r="F2479" i="1"/>
  <c r="G2479" i="1"/>
  <c r="H2479" i="1"/>
  <c r="I2479" i="1"/>
  <c r="C2480" i="1"/>
  <c r="D2480" i="1"/>
  <c r="E2480" i="1"/>
  <c r="F2480" i="1"/>
  <c r="G2480" i="1"/>
  <c r="H2480" i="1"/>
  <c r="I2480" i="1"/>
  <c r="C2481" i="1"/>
  <c r="D2481" i="1"/>
  <c r="E2481" i="1"/>
  <c r="F2481" i="1"/>
  <c r="G2481" i="1"/>
  <c r="H2481" i="1"/>
  <c r="I2481" i="1"/>
  <c r="C2482" i="1"/>
  <c r="D2482" i="1"/>
  <c r="E2482" i="1"/>
  <c r="F2482" i="1"/>
  <c r="G2482" i="1"/>
  <c r="H2482" i="1"/>
  <c r="I2482" i="1"/>
  <c r="C2483" i="1"/>
  <c r="D2483" i="1"/>
  <c r="E2483" i="1"/>
  <c r="F2483" i="1"/>
  <c r="G2483" i="1"/>
  <c r="H2483" i="1"/>
  <c r="I2483" i="1"/>
  <c r="C2569" i="1"/>
  <c r="D2569" i="1"/>
  <c r="E2569" i="1"/>
  <c r="F2569" i="1"/>
  <c r="G2569" i="1"/>
  <c r="H2569" i="1"/>
  <c r="I2569" i="1"/>
  <c r="C2573" i="1"/>
  <c r="D2573" i="1"/>
  <c r="E2573" i="1"/>
  <c r="F2573" i="1"/>
  <c r="G2573" i="1"/>
  <c r="H2573" i="1"/>
  <c r="I2573" i="1"/>
  <c r="C2484" i="1"/>
  <c r="D2484" i="1"/>
  <c r="E2484" i="1"/>
  <c r="F2484" i="1"/>
  <c r="G2484" i="1"/>
  <c r="H2484" i="1"/>
  <c r="I2484" i="1"/>
  <c r="C2485" i="1"/>
  <c r="D2485" i="1"/>
  <c r="E2485" i="1"/>
  <c r="F2485" i="1"/>
  <c r="G2485" i="1"/>
  <c r="H2485" i="1"/>
  <c r="I2485" i="1"/>
  <c r="C2486" i="1"/>
  <c r="D2486" i="1"/>
  <c r="E2486" i="1"/>
  <c r="F2486" i="1"/>
  <c r="G2486" i="1"/>
  <c r="H2486" i="1"/>
  <c r="I2486" i="1"/>
  <c r="C2487" i="1"/>
  <c r="D2487" i="1"/>
  <c r="E2487" i="1"/>
  <c r="F2487" i="1"/>
  <c r="G2487" i="1"/>
  <c r="H2487" i="1"/>
  <c r="I2487" i="1"/>
  <c r="C2488" i="1"/>
  <c r="D2488" i="1"/>
  <c r="E2488" i="1"/>
  <c r="F2488" i="1"/>
  <c r="G2488" i="1"/>
  <c r="H2488" i="1"/>
  <c r="I2488" i="1"/>
  <c r="C2489" i="1"/>
  <c r="D2489" i="1"/>
  <c r="E2489" i="1"/>
  <c r="F2489" i="1"/>
  <c r="G2489" i="1"/>
  <c r="H2489" i="1"/>
  <c r="I2489" i="1"/>
  <c r="C2490" i="1"/>
  <c r="D2490" i="1"/>
  <c r="E2490" i="1"/>
  <c r="F2490" i="1"/>
  <c r="G2490" i="1"/>
  <c r="H2490" i="1"/>
  <c r="I2490" i="1"/>
  <c r="C2491" i="1"/>
  <c r="D2491" i="1"/>
  <c r="E2491" i="1"/>
  <c r="F2491" i="1"/>
  <c r="G2491" i="1"/>
  <c r="H2491" i="1"/>
  <c r="I2491" i="1"/>
  <c r="C2492" i="1"/>
  <c r="D2492" i="1"/>
  <c r="E2492" i="1"/>
  <c r="F2492" i="1"/>
  <c r="G2492" i="1"/>
  <c r="H2492" i="1"/>
  <c r="I2492" i="1"/>
  <c r="C2493" i="1"/>
  <c r="D2493" i="1"/>
  <c r="E2493" i="1"/>
  <c r="F2493" i="1"/>
  <c r="G2493" i="1"/>
  <c r="H2493" i="1"/>
  <c r="I2493" i="1"/>
  <c r="C2494" i="1"/>
  <c r="D2494" i="1"/>
  <c r="E2494" i="1"/>
  <c r="F2494" i="1"/>
  <c r="G2494" i="1"/>
  <c r="H2494" i="1"/>
  <c r="I2494" i="1"/>
  <c r="C2495" i="1"/>
  <c r="D2495" i="1"/>
  <c r="E2495" i="1"/>
  <c r="F2495" i="1"/>
  <c r="G2495" i="1"/>
  <c r="H2495" i="1"/>
  <c r="I2495" i="1"/>
  <c r="C2496" i="1"/>
  <c r="D2496" i="1"/>
  <c r="E2496" i="1"/>
  <c r="F2496" i="1"/>
  <c r="G2496" i="1"/>
  <c r="H2496" i="1"/>
  <c r="I2496" i="1"/>
  <c r="C798" i="1"/>
  <c r="D798" i="1"/>
  <c r="E798" i="1"/>
  <c r="F798" i="1"/>
  <c r="G798" i="1"/>
  <c r="H798" i="1"/>
  <c r="I798" i="1"/>
  <c r="C2497" i="1"/>
  <c r="D2497" i="1"/>
  <c r="E2497" i="1"/>
  <c r="F2497" i="1"/>
  <c r="G2497" i="1"/>
  <c r="H2497" i="1"/>
  <c r="I2497" i="1"/>
  <c r="C2567" i="1"/>
  <c r="D2567" i="1"/>
  <c r="E2567" i="1"/>
  <c r="F2567" i="1"/>
  <c r="G2567" i="1"/>
  <c r="H2567" i="1"/>
  <c r="I2567" i="1"/>
  <c r="C2498" i="1"/>
  <c r="D2498" i="1"/>
  <c r="E2498" i="1"/>
  <c r="F2498" i="1"/>
  <c r="G2498" i="1"/>
  <c r="H2498" i="1"/>
  <c r="I2498" i="1"/>
  <c r="C2499" i="1"/>
  <c r="D2499" i="1"/>
  <c r="E2499" i="1"/>
  <c r="F2499" i="1"/>
  <c r="G2499" i="1"/>
  <c r="H2499" i="1"/>
  <c r="I2499" i="1"/>
  <c r="C2500" i="1"/>
  <c r="D2500" i="1"/>
  <c r="E2500" i="1"/>
  <c r="F2500" i="1"/>
  <c r="G2500" i="1"/>
  <c r="H2500" i="1"/>
  <c r="I2500" i="1"/>
  <c r="C2501" i="1"/>
  <c r="D2501" i="1"/>
  <c r="E2501" i="1"/>
  <c r="F2501" i="1"/>
  <c r="G2501" i="1"/>
  <c r="H2501" i="1"/>
  <c r="I2501" i="1"/>
  <c r="C2502" i="1"/>
  <c r="D2502" i="1"/>
  <c r="E2502" i="1"/>
  <c r="F2502" i="1"/>
  <c r="G2502" i="1"/>
  <c r="H2502" i="1"/>
  <c r="I2502" i="1"/>
  <c r="C2503" i="1"/>
  <c r="D2503" i="1"/>
  <c r="E2503" i="1"/>
  <c r="F2503" i="1"/>
  <c r="G2503" i="1"/>
  <c r="H2503" i="1"/>
  <c r="I2503" i="1"/>
  <c r="C2504" i="1"/>
  <c r="D2504" i="1"/>
  <c r="E2504" i="1"/>
  <c r="F2504" i="1"/>
  <c r="G2504" i="1"/>
  <c r="H2504" i="1"/>
  <c r="I2504" i="1"/>
  <c r="C2505" i="1"/>
  <c r="D2505" i="1"/>
  <c r="E2505" i="1"/>
  <c r="F2505" i="1"/>
  <c r="G2505" i="1"/>
  <c r="H2505" i="1"/>
  <c r="I2505" i="1"/>
  <c r="C2506" i="1"/>
  <c r="D2506" i="1"/>
  <c r="E2506" i="1"/>
  <c r="F2506" i="1"/>
  <c r="G2506" i="1"/>
  <c r="H2506" i="1"/>
  <c r="I2506" i="1"/>
  <c r="C2507" i="1"/>
  <c r="D2507" i="1"/>
  <c r="E2507" i="1"/>
  <c r="F2507" i="1"/>
  <c r="G2507" i="1"/>
  <c r="H2507" i="1"/>
  <c r="I2507" i="1"/>
  <c r="C2508" i="1"/>
  <c r="D2508" i="1"/>
  <c r="E2508" i="1"/>
  <c r="F2508" i="1"/>
  <c r="G2508" i="1"/>
  <c r="H2508" i="1"/>
  <c r="I2508" i="1"/>
  <c r="C2509" i="1"/>
  <c r="D2509" i="1"/>
  <c r="E2509" i="1"/>
  <c r="F2509" i="1"/>
  <c r="G2509" i="1"/>
  <c r="H2509" i="1"/>
  <c r="I2509" i="1"/>
  <c r="C2510" i="1"/>
  <c r="D2510" i="1"/>
  <c r="E2510" i="1"/>
  <c r="F2510" i="1"/>
  <c r="G2510" i="1"/>
  <c r="H2510" i="1"/>
  <c r="I2510" i="1"/>
  <c r="C2511" i="1"/>
  <c r="D2511" i="1"/>
  <c r="E2511" i="1"/>
  <c r="F2511" i="1"/>
  <c r="G2511" i="1"/>
  <c r="H2511" i="1"/>
  <c r="I2511" i="1"/>
  <c r="C2512" i="1"/>
  <c r="D2512" i="1"/>
  <c r="E2512" i="1"/>
  <c r="F2512" i="1"/>
  <c r="G2512" i="1"/>
  <c r="H2512" i="1"/>
  <c r="I2512" i="1"/>
  <c r="C2513" i="1"/>
  <c r="D2513" i="1"/>
  <c r="E2513" i="1"/>
  <c r="F2513" i="1"/>
  <c r="G2513" i="1"/>
  <c r="H2513" i="1"/>
  <c r="I2513" i="1"/>
  <c r="C2570" i="1"/>
  <c r="D2570" i="1"/>
  <c r="E2570" i="1"/>
  <c r="F2570" i="1"/>
  <c r="G2570" i="1"/>
  <c r="H2570" i="1"/>
  <c r="I2570" i="1"/>
  <c r="C2562" i="1"/>
  <c r="D2562" i="1"/>
  <c r="E2562" i="1"/>
  <c r="F2562" i="1"/>
  <c r="G2562" i="1"/>
  <c r="H2562" i="1"/>
  <c r="I2562" i="1"/>
  <c r="C2514" i="1"/>
  <c r="D2514" i="1"/>
  <c r="E2514" i="1"/>
  <c r="F2514" i="1"/>
  <c r="G2514" i="1"/>
  <c r="H2514" i="1"/>
  <c r="I2514" i="1"/>
  <c r="C2515" i="1"/>
  <c r="D2515" i="1"/>
  <c r="E2515" i="1"/>
  <c r="F2515" i="1"/>
  <c r="G2515" i="1"/>
  <c r="H2515" i="1"/>
  <c r="I2515" i="1"/>
  <c r="C2516" i="1"/>
  <c r="D2516" i="1"/>
  <c r="E2516" i="1"/>
  <c r="F2516" i="1"/>
  <c r="G2516" i="1"/>
  <c r="H2516" i="1"/>
  <c r="I2516" i="1"/>
  <c r="C2517" i="1"/>
  <c r="D2517" i="1"/>
  <c r="E2517" i="1"/>
  <c r="F2517" i="1"/>
  <c r="G2517" i="1"/>
  <c r="H2517" i="1"/>
  <c r="I2517" i="1"/>
  <c r="C2518" i="1"/>
  <c r="D2518" i="1"/>
  <c r="E2518" i="1"/>
  <c r="F2518" i="1"/>
  <c r="G2518" i="1"/>
  <c r="H2518" i="1"/>
  <c r="I2518" i="1"/>
  <c r="C2519" i="1"/>
  <c r="D2519" i="1"/>
  <c r="E2519" i="1"/>
  <c r="F2519" i="1"/>
  <c r="G2519" i="1"/>
  <c r="H2519" i="1"/>
  <c r="I2519" i="1"/>
  <c r="C2520" i="1"/>
  <c r="D2520" i="1"/>
  <c r="E2520" i="1"/>
  <c r="F2520" i="1"/>
  <c r="G2520" i="1"/>
  <c r="H2520" i="1"/>
  <c r="I2520" i="1"/>
  <c r="C2521" i="1"/>
  <c r="D2521" i="1"/>
  <c r="E2521" i="1"/>
  <c r="F2521" i="1"/>
  <c r="G2521" i="1"/>
  <c r="H2521" i="1"/>
  <c r="I2521" i="1"/>
  <c r="C2522" i="1"/>
  <c r="D2522" i="1"/>
  <c r="E2522" i="1"/>
  <c r="F2522" i="1"/>
  <c r="G2522" i="1"/>
  <c r="H2522" i="1"/>
  <c r="I2522" i="1"/>
  <c r="C2523" i="1"/>
  <c r="D2523" i="1"/>
  <c r="E2523" i="1"/>
  <c r="F2523" i="1"/>
  <c r="G2523" i="1"/>
  <c r="H2523" i="1"/>
  <c r="I2523" i="1"/>
  <c r="C2524" i="1"/>
  <c r="D2524" i="1"/>
  <c r="E2524" i="1"/>
  <c r="F2524" i="1"/>
  <c r="G2524" i="1"/>
  <c r="H2524" i="1"/>
  <c r="I2524" i="1"/>
  <c r="C2525" i="1"/>
  <c r="D2525" i="1"/>
  <c r="E2525" i="1"/>
  <c r="F2525" i="1"/>
  <c r="G2525" i="1"/>
  <c r="H2525" i="1"/>
  <c r="I2525" i="1"/>
  <c r="C2526" i="1"/>
  <c r="D2526" i="1"/>
  <c r="E2526" i="1"/>
  <c r="F2526" i="1"/>
  <c r="G2526" i="1"/>
  <c r="H2526" i="1"/>
  <c r="I2526" i="1"/>
  <c r="C2527" i="1"/>
  <c r="D2527" i="1"/>
  <c r="E2527" i="1"/>
  <c r="F2527" i="1"/>
  <c r="G2527" i="1"/>
  <c r="H2527" i="1"/>
  <c r="I2527" i="1"/>
  <c r="C2528" i="1"/>
  <c r="D2528" i="1"/>
  <c r="E2528" i="1"/>
  <c r="F2528" i="1"/>
  <c r="G2528" i="1"/>
  <c r="H2528" i="1"/>
  <c r="I2528" i="1"/>
  <c r="C2529" i="1"/>
  <c r="D2529" i="1"/>
  <c r="E2529" i="1"/>
  <c r="F2529" i="1"/>
  <c r="G2529" i="1"/>
  <c r="H2529" i="1"/>
  <c r="I2529" i="1"/>
  <c r="C2583" i="1"/>
  <c r="D2583" i="1"/>
  <c r="E2583" i="1"/>
  <c r="F2583" i="1"/>
  <c r="G2583" i="1"/>
  <c r="H2583" i="1"/>
  <c r="I2583" i="1"/>
  <c r="C2584" i="1"/>
  <c r="D2584" i="1"/>
  <c r="E2584" i="1"/>
  <c r="F2584" i="1"/>
  <c r="G2584" i="1"/>
  <c r="H2584" i="1"/>
  <c r="I2584" i="1"/>
  <c r="C2585" i="1"/>
  <c r="D2585" i="1"/>
  <c r="E2585" i="1"/>
  <c r="F2585" i="1"/>
  <c r="G2585" i="1"/>
  <c r="H2585" i="1"/>
  <c r="I2585" i="1"/>
  <c r="C2586" i="1"/>
  <c r="D2586" i="1"/>
  <c r="E2586" i="1"/>
  <c r="F2586" i="1"/>
  <c r="G2586" i="1"/>
  <c r="H2586" i="1"/>
  <c r="I2586" i="1"/>
  <c r="C2587" i="1"/>
  <c r="D2587" i="1"/>
  <c r="E2587" i="1"/>
  <c r="F2587" i="1"/>
  <c r="G2587" i="1"/>
  <c r="H2587" i="1"/>
  <c r="I2587" i="1"/>
  <c r="C2588" i="1"/>
  <c r="D2588" i="1"/>
  <c r="E2588" i="1"/>
  <c r="F2588" i="1"/>
  <c r="G2588" i="1"/>
  <c r="H2588" i="1"/>
  <c r="I2588" i="1"/>
  <c r="C2589" i="1"/>
  <c r="D2589" i="1"/>
  <c r="E2589" i="1"/>
  <c r="F2589" i="1"/>
  <c r="G2589" i="1"/>
  <c r="H2589" i="1"/>
  <c r="I2589" i="1"/>
  <c r="C2590" i="1"/>
  <c r="D2590" i="1"/>
  <c r="E2590" i="1"/>
  <c r="F2590" i="1"/>
  <c r="G2590" i="1"/>
  <c r="H2590" i="1"/>
  <c r="I2590" i="1"/>
  <c r="C390" i="1"/>
  <c r="D390" i="1"/>
  <c r="E390" i="1"/>
  <c r="F390" i="1"/>
  <c r="G390" i="1"/>
  <c r="H390" i="1"/>
  <c r="I390" i="1"/>
  <c r="C2591" i="1"/>
  <c r="D2591" i="1"/>
  <c r="E2591" i="1"/>
  <c r="F2591" i="1"/>
  <c r="G2591" i="1"/>
  <c r="H2591" i="1"/>
  <c r="I2591" i="1"/>
  <c r="C2592" i="1"/>
  <c r="D2592" i="1"/>
  <c r="E2592" i="1"/>
  <c r="F2592" i="1"/>
  <c r="G2592" i="1"/>
  <c r="H2592" i="1"/>
  <c r="I2592" i="1"/>
  <c r="C2593" i="1"/>
  <c r="D2593" i="1"/>
  <c r="E2593" i="1"/>
  <c r="F2593" i="1"/>
  <c r="G2593" i="1"/>
  <c r="H2593" i="1"/>
  <c r="I2593" i="1"/>
  <c r="C2594" i="1"/>
  <c r="D2594" i="1"/>
  <c r="E2594" i="1"/>
  <c r="F2594" i="1"/>
  <c r="G2594" i="1"/>
  <c r="H2594" i="1"/>
  <c r="I2594" i="1"/>
  <c r="C2595" i="1"/>
  <c r="D2595" i="1"/>
  <c r="E2595" i="1"/>
  <c r="F2595" i="1"/>
  <c r="G2595" i="1"/>
  <c r="H2595" i="1"/>
  <c r="I2595" i="1"/>
  <c r="C2596" i="1"/>
  <c r="D2596" i="1"/>
  <c r="E2596" i="1"/>
  <c r="F2596" i="1"/>
  <c r="G2596" i="1"/>
  <c r="H2596" i="1"/>
  <c r="I2596" i="1"/>
  <c r="C2597" i="1"/>
  <c r="D2597" i="1"/>
  <c r="E2597" i="1"/>
  <c r="F2597" i="1"/>
  <c r="G2597" i="1"/>
  <c r="H2597" i="1"/>
  <c r="I2597" i="1"/>
  <c r="C2598" i="1"/>
  <c r="D2598" i="1"/>
  <c r="E2598" i="1"/>
  <c r="F2598" i="1"/>
  <c r="G2598" i="1"/>
  <c r="H2598" i="1"/>
  <c r="I2598" i="1"/>
  <c r="C2599" i="1"/>
  <c r="D2599" i="1"/>
  <c r="E2599" i="1"/>
  <c r="F2599" i="1"/>
  <c r="G2599" i="1"/>
  <c r="H2599" i="1"/>
  <c r="I2599" i="1"/>
  <c r="C2600" i="1"/>
  <c r="D2600" i="1"/>
  <c r="E2600" i="1"/>
  <c r="F2600" i="1"/>
  <c r="G2600" i="1"/>
  <c r="H2600" i="1"/>
  <c r="I2600" i="1"/>
  <c r="C2601" i="1"/>
  <c r="D2601" i="1"/>
  <c r="E2601" i="1"/>
  <c r="F2601" i="1"/>
  <c r="G2601" i="1"/>
  <c r="H2601" i="1"/>
  <c r="I2601" i="1"/>
  <c r="C2602" i="1"/>
  <c r="D2602" i="1"/>
  <c r="E2602" i="1"/>
  <c r="F2602" i="1"/>
  <c r="G2602" i="1"/>
  <c r="H2602" i="1"/>
  <c r="I2602" i="1"/>
  <c r="C2603" i="1"/>
  <c r="D2603" i="1"/>
  <c r="E2603" i="1"/>
  <c r="F2603" i="1"/>
  <c r="G2603" i="1"/>
  <c r="H2603" i="1"/>
  <c r="I2603" i="1"/>
  <c r="C2604" i="1"/>
  <c r="D2604" i="1"/>
  <c r="E2604" i="1"/>
  <c r="F2604" i="1"/>
  <c r="G2604" i="1"/>
  <c r="H2604" i="1"/>
  <c r="I2604" i="1"/>
  <c r="C2605" i="1"/>
  <c r="D2605" i="1"/>
  <c r="E2605" i="1"/>
  <c r="F2605" i="1"/>
  <c r="G2605" i="1"/>
  <c r="H2605" i="1"/>
  <c r="I2605" i="1"/>
  <c r="C2606" i="1"/>
  <c r="D2606" i="1"/>
  <c r="E2606" i="1"/>
  <c r="F2606" i="1"/>
  <c r="G2606" i="1"/>
  <c r="H2606" i="1"/>
  <c r="I2606" i="1"/>
  <c r="C2607" i="1"/>
  <c r="D2607" i="1"/>
  <c r="E2607" i="1"/>
  <c r="F2607" i="1"/>
  <c r="G2607" i="1"/>
  <c r="H2607" i="1"/>
  <c r="I2607" i="1"/>
  <c r="C2608" i="1"/>
  <c r="D2608" i="1"/>
  <c r="E2608" i="1"/>
  <c r="F2608" i="1"/>
  <c r="G2608" i="1"/>
  <c r="H2608" i="1"/>
  <c r="I2608" i="1"/>
  <c r="C2609" i="1"/>
  <c r="D2609" i="1"/>
  <c r="E2609" i="1"/>
  <c r="F2609" i="1"/>
  <c r="G2609" i="1"/>
  <c r="H2609" i="1"/>
  <c r="I2609" i="1"/>
  <c r="C2610" i="1"/>
  <c r="D2610" i="1"/>
  <c r="E2610" i="1"/>
  <c r="F2610" i="1"/>
  <c r="G2610" i="1"/>
  <c r="H2610" i="1"/>
  <c r="I2610" i="1"/>
  <c r="C2611" i="1"/>
  <c r="D2611" i="1"/>
  <c r="E2611" i="1"/>
  <c r="F2611" i="1"/>
  <c r="G2611" i="1"/>
  <c r="H2611" i="1"/>
  <c r="I2611" i="1"/>
  <c r="C2612" i="1"/>
  <c r="D2612" i="1"/>
  <c r="E2612" i="1"/>
  <c r="F2612" i="1"/>
  <c r="G2612" i="1"/>
  <c r="H2612" i="1"/>
  <c r="I2612" i="1"/>
  <c r="C2686" i="1"/>
  <c r="D2686" i="1"/>
  <c r="E2686" i="1"/>
  <c r="F2686" i="1"/>
  <c r="G2686" i="1"/>
  <c r="H2686" i="1"/>
  <c r="I2686" i="1"/>
  <c r="C2683" i="1"/>
  <c r="D2683" i="1"/>
  <c r="E2683" i="1"/>
  <c r="F2683" i="1"/>
  <c r="G2683" i="1"/>
  <c r="H2683" i="1"/>
  <c r="I2683" i="1"/>
  <c r="C2613" i="1"/>
  <c r="D2613" i="1"/>
  <c r="E2613" i="1"/>
  <c r="F2613" i="1"/>
  <c r="G2613" i="1"/>
  <c r="H2613" i="1"/>
  <c r="I2613" i="1"/>
  <c r="C2614" i="1"/>
  <c r="D2614" i="1"/>
  <c r="E2614" i="1"/>
  <c r="F2614" i="1"/>
  <c r="G2614" i="1"/>
  <c r="H2614" i="1"/>
  <c r="I2614" i="1"/>
  <c r="C2615" i="1"/>
  <c r="D2615" i="1"/>
  <c r="E2615" i="1"/>
  <c r="F2615" i="1"/>
  <c r="G2615" i="1"/>
  <c r="H2615" i="1"/>
  <c r="I2615" i="1"/>
  <c r="C1747" i="1"/>
  <c r="D1747" i="1"/>
  <c r="E1747" i="1"/>
  <c r="F1747" i="1"/>
  <c r="G1747" i="1"/>
  <c r="H1747" i="1"/>
  <c r="I1747" i="1"/>
  <c r="C2679" i="1"/>
  <c r="D2679" i="1"/>
  <c r="E2679" i="1"/>
  <c r="F2679" i="1"/>
  <c r="G2679" i="1"/>
  <c r="H2679" i="1"/>
  <c r="I2679" i="1"/>
  <c r="C2616" i="1"/>
  <c r="D2616" i="1"/>
  <c r="E2616" i="1"/>
  <c r="F2616" i="1"/>
  <c r="G2616" i="1"/>
  <c r="H2616" i="1"/>
  <c r="I2616" i="1"/>
  <c r="C4314" i="1"/>
  <c r="D4314" i="1"/>
  <c r="E4314" i="1"/>
  <c r="F4314" i="1"/>
  <c r="G4314" i="1"/>
  <c r="H4314" i="1"/>
  <c r="I4314" i="1"/>
  <c r="C2684" i="1"/>
  <c r="D2684" i="1"/>
  <c r="E2684" i="1"/>
  <c r="F2684" i="1"/>
  <c r="G2684" i="1"/>
  <c r="H2684" i="1"/>
  <c r="I2684" i="1"/>
  <c r="C2617" i="1"/>
  <c r="D2617" i="1"/>
  <c r="E2617" i="1"/>
  <c r="F2617" i="1"/>
  <c r="G2617" i="1"/>
  <c r="H2617" i="1"/>
  <c r="I2617" i="1"/>
  <c r="C2618" i="1"/>
  <c r="D2618" i="1"/>
  <c r="E2618" i="1"/>
  <c r="F2618" i="1"/>
  <c r="G2618" i="1"/>
  <c r="H2618" i="1"/>
  <c r="I2618" i="1"/>
  <c r="C2619" i="1"/>
  <c r="D2619" i="1"/>
  <c r="E2619" i="1"/>
  <c r="F2619" i="1"/>
  <c r="G2619" i="1"/>
  <c r="H2619" i="1"/>
  <c r="I2619" i="1"/>
  <c r="C2620" i="1"/>
  <c r="D2620" i="1"/>
  <c r="E2620" i="1"/>
  <c r="F2620" i="1"/>
  <c r="G2620" i="1"/>
  <c r="H2620" i="1"/>
  <c r="I2620" i="1"/>
  <c r="C1463" i="1"/>
  <c r="D1463" i="1"/>
  <c r="E1463" i="1"/>
  <c r="F1463" i="1"/>
  <c r="G1463" i="1"/>
  <c r="H1463" i="1"/>
  <c r="I1463" i="1"/>
  <c r="C2621" i="1"/>
  <c r="D2621" i="1"/>
  <c r="E2621" i="1"/>
  <c r="F2621" i="1"/>
  <c r="G2621" i="1"/>
  <c r="H2621" i="1"/>
  <c r="I2621" i="1"/>
  <c r="C2622" i="1"/>
  <c r="D2622" i="1"/>
  <c r="E2622" i="1"/>
  <c r="F2622" i="1"/>
  <c r="G2622" i="1"/>
  <c r="H2622" i="1"/>
  <c r="I2622" i="1"/>
  <c r="C2688" i="1"/>
  <c r="D2688" i="1"/>
  <c r="E2688" i="1"/>
  <c r="F2688" i="1"/>
  <c r="G2688" i="1"/>
  <c r="H2688" i="1"/>
  <c r="I2688" i="1"/>
  <c r="C2691" i="1"/>
  <c r="D2691" i="1"/>
  <c r="E2691" i="1"/>
  <c r="F2691" i="1"/>
  <c r="G2691" i="1"/>
  <c r="H2691" i="1"/>
  <c r="I2691" i="1"/>
  <c r="C2623" i="1"/>
  <c r="D2623" i="1"/>
  <c r="E2623" i="1"/>
  <c r="F2623" i="1"/>
  <c r="G2623" i="1"/>
  <c r="H2623" i="1"/>
  <c r="I2623" i="1"/>
  <c r="C1589" i="1"/>
  <c r="D1589" i="1"/>
  <c r="E1589" i="1"/>
  <c r="F1589" i="1"/>
  <c r="G1589" i="1"/>
  <c r="H1589" i="1"/>
  <c r="I1589" i="1"/>
  <c r="C2624" i="1"/>
  <c r="D2624" i="1"/>
  <c r="E2624" i="1"/>
  <c r="F2624" i="1"/>
  <c r="G2624" i="1"/>
  <c r="H2624" i="1"/>
  <c r="I2624" i="1"/>
  <c r="C2625" i="1"/>
  <c r="D2625" i="1"/>
  <c r="E2625" i="1"/>
  <c r="F2625" i="1"/>
  <c r="G2625" i="1"/>
  <c r="H2625" i="1"/>
  <c r="I2625" i="1"/>
  <c r="C2626" i="1"/>
  <c r="D2626" i="1"/>
  <c r="E2626" i="1"/>
  <c r="F2626" i="1"/>
  <c r="G2626" i="1"/>
  <c r="H2626" i="1"/>
  <c r="I2626" i="1"/>
  <c r="C2627" i="1"/>
  <c r="D2627" i="1"/>
  <c r="E2627" i="1"/>
  <c r="F2627" i="1"/>
  <c r="G2627" i="1"/>
  <c r="H2627" i="1"/>
  <c r="I2627" i="1"/>
  <c r="C2628" i="1"/>
  <c r="D2628" i="1"/>
  <c r="E2628" i="1"/>
  <c r="F2628" i="1"/>
  <c r="G2628" i="1"/>
  <c r="H2628" i="1"/>
  <c r="I2628" i="1"/>
  <c r="C2629" i="1"/>
  <c r="D2629" i="1"/>
  <c r="E2629" i="1"/>
  <c r="F2629" i="1"/>
  <c r="G2629" i="1"/>
  <c r="H2629" i="1"/>
  <c r="I2629" i="1"/>
  <c r="C2630" i="1"/>
  <c r="D2630" i="1"/>
  <c r="E2630" i="1"/>
  <c r="F2630" i="1"/>
  <c r="G2630" i="1"/>
  <c r="H2630" i="1"/>
  <c r="I2630" i="1"/>
  <c r="C2631" i="1"/>
  <c r="D2631" i="1"/>
  <c r="E2631" i="1"/>
  <c r="F2631" i="1"/>
  <c r="G2631" i="1"/>
  <c r="H2631" i="1"/>
  <c r="I2631" i="1"/>
  <c r="C2632" i="1"/>
  <c r="D2632" i="1"/>
  <c r="E2632" i="1"/>
  <c r="F2632" i="1"/>
  <c r="G2632" i="1"/>
  <c r="H2632" i="1"/>
  <c r="I2632" i="1"/>
  <c r="C2633" i="1"/>
  <c r="D2633" i="1"/>
  <c r="E2633" i="1"/>
  <c r="F2633" i="1"/>
  <c r="G2633" i="1"/>
  <c r="H2633" i="1"/>
  <c r="I2633" i="1"/>
  <c r="C2634" i="1"/>
  <c r="D2634" i="1"/>
  <c r="E2634" i="1"/>
  <c r="F2634" i="1"/>
  <c r="G2634" i="1"/>
  <c r="H2634" i="1"/>
  <c r="I2634" i="1"/>
  <c r="C2635" i="1"/>
  <c r="D2635" i="1"/>
  <c r="E2635" i="1"/>
  <c r="F2635" i="1"/>
  <c r="G2635" i="1"/>
  <c r="H2635" i="1"/>
  <c r="I2635" i="1"/>
  <c r="C2796" i="1"/>
  <c r="D2796" i="1"/>
  <c r="E2796" i="1"/>
  <c r="F2796" i="1"/>
  <c r="G2796" i="1"/>
  <c r="H2796" i="1"/>
  <c r="I2796" i="1"/>
  <c r="C2802" i="1"/>
  <c r="D2802" i="1"/>
  <c r="E2802" i="1"/>
  <c r="F2802" i="1"/>
  <c r="G2802" i="1"/>
  <c r="H2802" i="1"/>
  <c r="I2802" i="1"/>
  <c r="C2803" i="1"/>
  <c r="D2803" i="1"/>
  <c r="E2803" i="1"/>
  <c r="F2803" i="1"/>
  <c r="G2803" i="1"/>
  <c r="H2803" i="1"/>
  <c r="I2803" i="1"/>
  <c r="C2795" i="1"/>
  <c r="D2795" i="1"/>
  <c r="E2795" i="1"/>
  <c r="F2795" i="1"/>
  <c r="G2795" i="1"/>
  <c r="H2795" i="1"/>
  <c r="I2795" i="1"/>
  <c r="C2698" i="1"/>
  <c r="D2698" i="1"/>
  <c r="E2698" i="1"/>
  <c r="F2698" i="1"/>
  <c r="G2698" i="1"/>
  <c r="H2698" i="1"/>
  <c r="I2698" i="1"/>
  <c r="C2699" i="1"/>
  <c r="D2699" i="1"/>
  <c r="E2699" i="1"/>
  <c r="F2699" i="1"/>
  <c r="G2699" i="1"/>
  <c r="H2699" i="1"/>
  <c r="I2699" i="1"/>
  <c r="C2700" i="1"/>
  <c r="D2700" i="1"/>
  <c r="E2700" i="1"/>
  <c r="F2700" i="1"/>
  <c r="G2700" i="1"/>
  <c r="H2700" i="1"/>
  <c r="I2700" i="1"/>
  <c r="C2701" i="1"/>
  <c r="D2701" i="1"/>
  <c r="E2701" i="1"/>
  <c r="F2701" i="1"/>
  <c r="G2701" i="1"/>
  <c r="H2701" i="1"/>
  <c r="I2701" i="1"/>
  <c r="C2702" i="1"/>
  <c r="D2702" i="1"/>
  <c r="E2702" i="1"/>
  <c r="F2702" i="1"/>
  <c r="G2702" i="1"/>
  <c r="H2702" i="1"/>
  <c r="I2702" i="1"/>
  <c r="C2703" i="1"/>
  <c r="D2703" i="1"/>
  <c r="E2703" i="1"/>
  <c r="F2703" i="1"/>
  <c r="G2703" i="1"/>
  <c r="H2703" i="1"/>
  <c r="I2703" i="1"/>
  <c r="C2704" i="1"/>
  <c r="D2704" i="1"/>
  <c r="E2704" i="1"/>
  <c r="F2704" i="1"/>
  <c r="G2704" i="1"/>
  <c r="H2704" i="1"/>
  <c r="I2704" i="1"/>
  <c r="C2705" i="1"/>
  <c r="D2705" i="1"/>
  <c r="E2705" i="1"/>
  <c r="F2705" i="1"/>
  <c r="G2705" i="1"/>
  <c r="H2705" i="1"/>
  <c r="I2705" i="1"/>
  <c r="C2706" i="1"/>
  <c r="D2706" i="1"/>
  <c r="E2706" i="1"/>
  <c r="F2706" i="1"/>
  <c r="G2706" i="1"/>
  <c r="H2706" i="1"/>
  <c r="I2706" i="1"/>
  <c r="C2707" i="1"/>
  <c r="D2707" i="1"/>
  <c r="E2707" i="1"/>
  <c r="F2707" i="1"/>
  <c r="G2707" i="1"/>
  <c r="H2707" i="1"/>
  <c r="I2707" i="1"/>
  <c r="C3760" i="1"/>
  <c r="D3760" i="1"/>
  <c r="E3760" i="1"/>
  <c r="F3760" i="1"/>
  <c r="G3760" i="1"/>
  <c r="H3760" i="1"/>
  <c r="I3760" i="1"/>
  <c r="C1195" i="1"/>
  <c r="D1195" i="1"/>
  <c r="E1195" i="1"/>
  <c r="F1195" i="1"/>
  <c r="G1195" i="1"/>
  <c r="H1195" i="1"/>
  <c r="I1195" i="1"/>
  <c r="C2708" i="1"/>
  <c r="D2708" i="1"/>
  <c r="E2708" i="1"/>
  <c r="F2708" i="1"/>
  <c r="G2708" i="1"/>
  <c r="H2708" i="1"/>
  <c r="I2708" i="1"/>
  <c r="C2709" i="1"/>
  <c r="D2709" i="1"/>
  <c r="E2709" i="1"/>
  <c r="F2709" i="1"/>
  <c r="G2709" i="1"/>
  <c r="H2709" i="1"/>
  <c r="I2709" i="1"/>
  <c r="C2710" i="1"/>
  <c r="D2710" i="1"/>
  <c r="E2710" i="1"/>
  <c r="F2710" i="1"/>
  <c r="G2710" i="1"/>
  <c r="H2710" i="1"/>
  <c r="I2710" i="1"/>
  <c r="C2711" i="1"/>
  <c r="D2711" i="1"/>
  <c r="E2711" i="1"/>
  <c r="F2711" i="1"/>
  <c r="G2711" i="1"/>
  <c r="H2711" i="1"/>
  <c r="I2711" i="1"/>
  <c r="C2712" i="1"/>
  <c r="D2712" i="1"/>
  <c r="E2712" i="1"/>
  <c r="F2712" i="1"/>
  <c r="G2712" i="1"/>
  <c r="H2712" i="1"/>
  <c r="I2712" i="1"/>
  <c r="C2713" i="1"/>
  <c r="D2713" i="1"/>
  <c r="E2713" i="1"/>
  <c r="F2713" i="1"/>
  <c r="G2713" i="1"/>
  <c r="H2713" i="1"/>
  <c r="I2713" i="1"/>
  <c r="C2714" i="1"/>
  <c r="D2714" i="1"/>
  <c r="E2714" i="1"/>
  <c r="F2714" i="1"/>
  <c r="G2714" i="1"/>
  <c r="H2714" i="1"/>
  <c r="I2714" i="1"/>
  <c r="C2715" i="1"/>
  <c r="D2715" i="1"/>
  <c r="E2715" i="1"/>
  <c r="F2715" i="1"/>
  <c r="G2715" i="1"/>
  <c r="H2715" i="1"/>
  <c r="I2715" i="1"/>
  <c r="C2716" i="1"/>
  <c r="D2716" i="1"/>
  <c r="E2716" i="1"/>
  <c r="F2716" i="1"/>
  <c r="G2716" i="1"/>
  <c r="H2716" i="1"/>
  <c r="I2716" i="1"/>
  <c r="C2717" i="1"/>
  <c r="D2717" i="1"/>
  <c r="E2717" i="1"/>
  <c r="F2717" i="1"/>
  <c r="G2717" i="1"/>
  <c r="H2717" i="1"/>
  <c r="I2717" i="1"/>
  <c r="C2718" i="1"/>
  <c r="D2718" i="1"/>
  <c r="E2718" i="1"/>
  <c r="F2718" i="1"/>
  <c r="G2718" i="1"/>
  <c r="H2718" i="1"/>
  <c r="I2718" i="1"/>
  <c r="C2719" i="1"/>
  <c r="D2719" i="1"/>
  <c r="E2719" i="1"/>
  <c r="F2719" i="1"/>
  <c r="G2719" i="1"/>
  <c r="H2719" i="1"/>
  <c r="I2719" i="1"/>
  <c r="C2800" i="1"/>
  <c r="D2800" i="1"/>
  <c r="E2800" i="1"/>
  <c r="F2800" i="1"/>
  <c r="G2800" i="1"/>
  <c r="H2800" i="1"/>
  <c r="I2800" i="1"/>
  <c r="C2804" i="1"/>
  <c r="D2804" i="1"/>
  <c r="E2804" i="1"/>
  <c r="F2804" i="1"/>
  <c r="G2804" i="1"/>
  <c r="H2804" i="1"/>
  <c r="I2804" i="1"/>
  <c r="C2794" i="1"/>
  <c r="D2794" i="1"/>
  <c r="E2794" i="1"/>
  <c r="F2794" i="1"/>
  <c r="G2794" i="1"/>
  <c r="H2794" i="1"/>
  <c r="I2794" i="1"/>
  <c r="C2720" i="1"/>
  <c r="D2720" i="1"/>
  <c r="E2720" i="1"/>
  <c r="F2720" i="1"/>
  <c r="G2720" i="1"/>
  <c r="H2720" i="1"/>
  <c r="I2720" i="1"/>
  <c r="C2721" i="1"/>
  <c r="D2721" i="1"/>
  <c r="E2721" i="1"/>
  <c r="F2721" i="1"/>
  <c r="G2721" i="1"/>
  <c r="H2721" i="1"/>
  <c r="I2721" i="1"/>
  <c r="C2722" i="1"/>
  <c r="D2722" i="1"/>
  <c r="E2722" i="1"/>
  <c r="F2722" i="1"/>
  <c r="G2722" i="1"/>
  <c r="H2722" i="1"/>
  <c r="I2722" i="1"/>
  <c r="C2723" i="1"/>
  <c r="D2723" i="1"/>
  <c r="E2723" i="1"/>
  <c r="F2723" i="1"/>
  <c r="G2723" i="1"/>
  <c r="H2723" i="1"/>
  <c r="I2723" i="1"/>
  <c r="C2724" i="1"/>
  <c r="D2724" i="1"/>
  <c r="E2724" i="1"/>
  <c r="F2724" i="1"/>
  <c r="G2724" i="1"/>
  <c r="H2724" i="1"/>
  <c r="I2724" i="1"/>
  <c r="C2725" i="1"/>
  <c r="D2725" i="1"/>
  <c r="E2725" i="1"/>
  <c r="F2725" i="1"/>
  <c r="G2725" i="1"/>
  <c r="H2725" i="1"/>
  <c r="I2725" i="1"/>
  <c r="C2726" i="1"/>
  <c r="D2726" i="1"/>
  <c r="E2726" i="1"/>
  <c r="F2726" i="1"/>
  <c r="G2726" i="1"/>
  <c r="H2726" i="1"/>
  <c r="I2726" i="1"/>
  <c r="C2797" i="1"/>
  <c r="D2797" i="1"/>
  <c r="E2797" i="1"/>
  <c r="F2797" i="1"/>
  <c r="G2797" i="1"/>
  <c r="H2797" i="1"/>
  <c r="I2797" i="1"/>
  <c r="C2987" i="1"/>
  <c r="D2987" i="1"/>
  <c r="E2987" i="1"/>
  <c r="F2987" i="1"/>
  <c r="G2987" i="1"/>
  <c r="H2987" i="1"/>
  <c r="I2987" i="1"/>
  <c r="C2727" i="1"/>
  <c r="D2727" i="1"/>
  <c r="E2727" i="1"/>
  <c r="F2727" i="1"/>
  <c r="G2727" i="1"/>
  <c r="H2727" i="1"/>
  <c r="I2727" i="1"/>
  <c r="C2728" i="1"/>
  <c r="D2728" i="1"/>
  <c r="E2728" i="1"/>
  <c r="F2728" i="1"/>
  <c r="G2728" i="1"/>
  <c r="H2728" i="1"/>
  <c r="I2728" i="1"/>
  <c r="C2729" i="1"/>
  <c r="D2729" i="1"/>
  <c r="E2729" i="1"/>
  <c r="F2729" i="1"/>
  <c r="G2729" i="1"/>
  <c r="H2729" i="1"/>
  <c r="I2729" i="1"/>
  <c r="C3352" i="1"/>
  <c r="D3352" i="1"/>
  <c r="E3352" i="1"/>
  <c r="F3352" i="1"/>
  <c r="G3352" i="1"/>
  <c r="H3352" i="1"/>
  <c r="I3352" i="1"/>
  <c r="C2730" i="1"/>
  <c r="D2730" i="1"/>
  <c r="E2730" i="1"/>
  <c r="F2730" i="1"/>
  <c r="G2730" i="1"/>
  <c r="H2730" i="1"/>
  <c r="I2730" i="1"/>
  <c r="C2731" i="1"/>
  <c r="D2731" i="1"/>
  <c r="E2731" i="1"/>
  <c r="F2731" i="1"/>
  <c r="G2731" i="1"/>
  <c r="H2731" i="1"/>
  <c r="I2731" i="1"/>
  <c r="C2732" i="1"/>
  <c r="D2732" i="1"/>
  <c r="E2732" i="1"/>
  <c r="F2732" i="1"/>
  <c r="G2732" i="1"/>
  <c r="H2732" i="1"/>
  <c r="I2732" i="1"/>
  <c r="C2733" i="1"/>
  <c r="D2733" i="1"/>
  <c r="E2733" i="1"/>
  <c r="F2733" i="1"/>
  <c r="G2733" i="1"/>
  <c r="H2733" i="1"/>
  <c r="I2733" i="1"/>
  <c r="C2530" i="1"/>
  <c r="D2530" i="1"/>
  <c r="E2530" i="1"/>
  <c r="F2530" i="1"/>
  <c r="G2530" i="1"/>
  <c r="H2530" i="1"/>
  <c r="I2530" i="1"/>
  <c r="C2734" i="1"/>
  <c r="D2734" i="1"/>
  <c r="E2734" i="1"/>
  <c r="F2734" i="1"/>
  <c r="G2734" i="1"/>
  <c r="H2734" i="1"/>
  <c r="I2734" i="1"/>
  <c r="C2735" i="1"/>
  <c r="D2735" i="1"/>
  <c r="E2735" i="1"/>
  <c r="F2735" i="1"/>
  <c r="G2735" i="1"/>
  <c r="H2735" i="1"/>
  <c r="I2735" i="1"/>
  <c r="C2736" i="1"/>
  <c r="D2736" i="1"/>
  <c r="E2736" i="1"/>
  <c r="F2736" i="1"/>
  <c r="G2736" i="1"/>
  <c r="H2736" i="1"/>
  <c r="I2736" i="1"/>
  <c r="C446" i="1"/>
  <c r="D446" i="1"/>
  <c r="E446" i="1"/>
  <c r="F446" i="1"/>
  <c r="G446" i="1"/>
  <c r="H446" i="1"/>
  <c r="I446" i="1"/>
  <c r="C2737" i="1"/>
  <c r="D2737" i="1"/>
  <c r="E2737" i="1"/>
  <c r="F2737" i="1"/>
  <c r="G2737" i="1"/>
  <c r="H2737" i="1"/>
  <c r="I2737" i="1"/>
  <c r="C2738" i="1"/>
  <c r="D2738" i="1"/>
  <c r="E2738" i="1"/>
  <c r="F2738" i="1"/>
  <c r="G2738" i="1"/>
  <c r="H2738" i="1"/>
  <c r="I2738" i="1"/>
  <c r="C2739" i="1"/>
  <c r="D2739" i="1"/>
  <c r="E2739" i="1"/>
  <c r="F2739" i="1"/>
  <c r="G2739" i="1"/>
  <c r="H2739" i="1"/>
  <c r="I2739" i="1"/>
  <c r="C2740" i="1"/>
  <c r="D2740" i="1"/>
  <c r="E2740" i="1"/>
  <c r="F2740" i="1"/>
  <c r="G2740" i="1"/>
  <c r="H2740" i="1"/>
  <c r="I2740" i="1"/>
  <c r="C2741" i="1"/>
  <c r="D2741" i="1"/>
  <c r="E2741" i="1"/>
  <c r="F2741" i="1"/>
  <c r="G2741" i="1"/>
  <c r="H2741" i="1"/>
  <c r="I2741" i="1"/>
  <c r="C2742" i="1"/>
  <c r="D2742" i="1"/>
  <c r="E2742" i="1"/>
  <c r="F2742" i="1"/>
  <c r="G2742" i="1"/>
  <c r="H2742" i="1"/>
  <c r="I2742" i="1"/>
  <c r="C2743" i="1"/>
  <c r="D2743" i="1"/>
  <c r="E2743" i="1"/>
  <c r="F2743" i="1"/>
  <c r="G2743" i="1"/>
  <c r="H2743" i="1"/>
  <c r="I2743" i="1"/>
  <c r="C2744" i="1"/>
  <c r="D2744" i="1"/>
  <c r="E2744" i="1"/>
  <c r="F2744" i="1"/>
  <c r="G2744" i="1"/>
  <c r="H2744" i="1"/>
  <c r="I2744" i="1"/>
  <c r="C2745" i="1"/>
  <c r="D2745" i="1"/>
  <c r="E2745" i="1"/>
  <c r="F2745" i="1"/>
  <c r="G2745" i="1"/>
  <c r="H2745" i="1"/>
  <c r="I2745" i="1"/>
  <c r="C3596" i="1"/>
  <c r="D3596" i="1"/>
  <c r="E3596" i="1"/>
  <c r="F3596" i="1"/>
  <c r="G3596" i="1"/>
  <c r="H3596" i="1"/>
  <c r="I3596" i="1"/>
  <c r="C2746" i="1"/>
  <c r="D2746" i="1"/>
  <c r="E2746" i="1"/>
  <c r="F2746" i="1"/>
  <c r="G2746" i="1"/>
  <c r="H2746" i="1"/>
  <c r="I2746" i="1"/>
  <c r="C2747" i="1"/>
  <c r="D2747" i="1"/>
  <c r="E2747" i="1"/>
  <c r="F2747" i="1"/>
  <c r="G2747" i="1"/>
  <c r="H2747" i="1"/>
  <c r="I2747" i="1"/>
  <c r="C2748" i="1"/>
  <c r="D2748" i="1"/>
  <c r="E2748" i="1"/>
  <c r="F2748" i="1"/>
  <c r="G2748" i="1"/>
  <c r="H2748" i="1"/>
  <c r="I2748" i="1"/>
  <c r="C2749" i="1"/>
  <c r="D2749" i="1"/>
  <c r="E2749" i="1"/>
  <c r="F2749" i="1"/>
  <c r="G2749" i="1"/>
  <c r="H2749" i="1"/>
  <c r="I2749" i="1"/>
  <c r="C2750" i="1"/>
  <c r="D2750" i="1"/>
  <c r="E2750" i="1"/>
  <c r="F2750" i="1"/>
  <c r="G2750" i="1"/>
  <c r="H2750" i="1"/>
  <c r="I2750" i="1"/>
  <c r="C2751" i="1"/>
  <c r="D2751" i="1"/>
  <c r="E2751" i="1"/>
  <c r="F2751" i="1"/>
  <c r="G2751" i="1"/>
  <c r="H2751" i="1"/>
  <c r="I2751" i="1"/>
  <c r="C2900" i="1"/>
  <c r="D2900" i="1"/>
  <c r="E2900" i="1"/>
  <c r="F2900" i="1"/>
  <c r="G2900" i="1"/>
  <c r="H2900" i="1"/>
  <c r="I2900" i="1"/>
  <c r="C2903" i="1"/>
  <c r="D2903" i="1"/>
  <c r="E2903" i="1"/>
  <c r="F2903" i="1"/>
  <c r="G2903" i="1"/>
  <c r="H2903" i="1"/>
  <c r="I2903" i="1"/>
  <c r="C2884" i="1"/>
  <c r="D2884" i="1"/>
  <c r="E2884" i="1"/>
  <c r="F2884" i="1"/>
  <c r="G2884" i="1"/>
  <c r="H2884" i="1"/>
  <c r="I2884" i="1"/>
  <c r="C2886" i="1"/>
  <c r="D2886" i="1"/>
  <c r="E2886" i="1"/>
  <c r="F2886" i="1"/>
  <c r="G2886" i="1"/>
  <c r="H2886" i="1"/>
  <c r="I2886" i="1"/>
  <c r="C2889" i="1"/>
  <c r="D2889" i="1"/>
  <c r="E2889" i="1"/>
  <c r="F2889" i="1"/>
  <c r="G2889" i="1"/>
  <c r="H2889" i="1"/>
  <c r="I2889" i="1"/>
  <c r="C2892" i="1"/>
  <c r="D2892" i="1"/>
  <c r="E2892" i="1"/>
  <c r="F2892" i="1"/>
  <c r="G2892" i="1"/>
  <c r="H2892" i="1"/>
  <c r="I2892" i="1"/>
  <c r="C2807" i="1"/>
  <c r="D2807" i="1"/>
  <c r="E2807" i="1"/>
  <c r="F2807" i="1"/>
  <c r="G2807" i="1"/>
  <c r="H2807" i="1"/>
  <c r="I2807" i="1"/>
  <c r="C2808" i="1"/>
  <c r="D2808" i="1"/>
  <c r="E2808" i="1"/>
  <c r="F2808" i="1"/>
  <c r="G2808" i="1"/>
  <c r="H2808" i="1"/>
  <c r="I2808" i="1"/>
  <c r="C2809" i="1"/>
  <c r="D2809" i="1"/>
  <c r="E2809" i="1"/>
  <c r="F2809" i="1"/>
  <c r="G2809" i="1"/>
  <c r="H2809" i="1"/>
  <c r="I2809" i="1"/>
  <c r="C2810" i="1"/>
  <c r="D2810" i="1"/>
  <c r="E2810" i="1"/>
  <c r="F2810" i="1"/>
  <c r="G2810" i="1"/>
  <c r="H2810" i="1"/>
  <c r="I2810" i="1"/>
  <c r="C2811" i="1"/>
  <c r="D2811" i="1"/>
  <c r="E2811" i="1"/>
  <c r="F2811" i="1"/>
  <c r="G2811" i="1"/>
  <c r="H2811" i="1"/>
  <c r="I2811" i="1"/>
  <c r="C2812" i="1"/>
  <c r="D2812" i="1"/>
  <c r="E2812" i="1"/>
  <c r="F2812" i="1"/>
  <c r="G2812" i="1"/>
  <c r="H2812" i="1"/>
  <c r="I2812" i="1"/>
  <c r="C2813" i="1"/>
  <c r="D2813" i="1"/>
  <c r="E2813" i="1"/>
  <c r="F2813" i="1"/>
  <c r="G2813" i="1"/>
  <c r="H2813" i="1"/>
  <c r="I2813" i="1"/>
  <c r="C2814" i="1"/>
  <c r="D2814" i="1"/>
  <c r="E2814" i="1"/>
  <c r="F2814" i="1"/>
  <c r="G2814" i="1"/>
  <c r="H2814" i="1"/>
  <c r="I2814" i="1"/>
  <c r="C2898" i="1"/>
  <c r="D2898" i="1"/>
  <c r="E2898" i="1"/>
  <c r="F2898" i="1"/>
  <c r="G2898" i="1"/>
  <c r="H2898" i="1"/>
  <c r="I2898" i="1"/>
  <c r="C2901" i="1"/>
  <c r="D2901" i="1"/>
  <c r="E2901" i="1"/>
  <c r="F2901" i="1"/>
  <c r="G2901" i="1"/>
  <c r="H2901" i="1"/>
  <c r="I2901" i="1"/>
  <c r="C2887" i="1"/>
  <c r="D2887" i="1"/>
  <c r="E2887" i="1"/>
  <c r="F2887" i="1"/>
  <c r="G2887" i="1"/>
  <c r="H2887" i="1"/>
  <c r="I2887" i="1"/>
  <c r="C2815" i="1"/>
  <c r="D2815" i="1"/>
  <c r="E2815" i="1"/>
  <c r="F2815" i="1"/>
  <c r="G2815" i="1"/>
  <c r="H2815" i="1"/>
  <c r="I2815" i="1"/>
  <c r="C2816" i="1"/>
  <c r="D2816" i="1"/>
  <c r="E2816" i="1"/>
  <c r="F2816" i="1"/>
  <c r="G2816" i="1"/>
  <c r="H2816" i="1"/>
  <c r="I2816" i="1"/>
  <c r="C2817" i="1"/>
  <c r="D2817" i="1"/>
  <c r="E2817" i="1"/>
  <c r="F2817" i="1"/>
  <c r="G2817" i="1"/>
  <c r="H2817" i="1"/>
  <c r="I2817" i="1"/>
  <c r="C2818" i="1"/>
  <c r="D2818" i="1"/>
  <c r="E2818" i="1"/>
  <c r="F2818" i="1"/>
  <c r="G2818" i="1"/>
  <c r="H2818" i="1"/>
  <c r="I2818" i="1"/>
  <c r="C2819" i="1"/>
  <c r="D2819" i="1"/>
  <c r="E2819" i="1"/>
  <c r="F2819" i="1"/>
  <c r="G2819" i="1"/>
  <c r="H2819" i="1"/>
  <c r="I2819" i="1"/>
  <c r="C2820" i="1"/>
  <c r="D2820" i="1"/>
  <c r="E2820" i="1"/>
  <c r="F2820" i="1"/>
  <c r="G2820" i="1"/>
  <c r="H2820" i="1"/>
  <c r="I2820" i="1"/>
  <c r="C2821" i="1"/>
  <c r="D2821" i="1"/>
  <c r="E2821" i="1"/>
  <c r="F2821" i="1"/>
  <c r="G2821" i="1"/>
  <c r="H2821" i="1"/>
  <c r="I2821" i="1"/>
  <c r="C2822" i="1"/>
  <c r="D2822" i="1"/>
  <c r="E2822" i="1"/>
  <c r="F2822" i="1"/>
  <c r="G2822" i="1"/>
  <c r="H2822" i="1"/>
  <c r="I2822" i="1"/>
  <c r="C2823" i="1"/>
  <c r="D2823" i="1"/>
  <c r="E2823" i="1"/>
  <c r="F2823" i="1"/>
  <c r="G2823" i="1"/>
  <c r="H2823" i="1"/>
  <c r="I2823" i="1"/>
  <c r="C2824" i="1"/>
  <c r="D2824" i="1"/>
  <c r="E2824" i="1"/>
  <c r="F2824" i="1"/>
  <c r="G2824" i="1"/>
  <c r="H2824" i="1"/>
  <c r="I2824" i="1"/>
  <c r="C2902" i="1"/>
  <c r="D2902" i="1"/>
  <c r="E2902" i="1"/>
  <c r="F2902" i="1"/>
  <c r="G2902" i="1"/>
  <c r="H2902" i="1"/>
  <c r="I2902" i="1"/>
  <c r="C2904" i="1"/>
  <c r="D2904" i="1"/>
  <c r="E2904" i="1"/>
  <c r="F2904" i="1"/>
  <c r="G2904" i="1"/>
  <c r="H2904" i="1"/>
  <c r="I2904" i="1"/>
  <c r="C2905" i="1"/>
  <c r="D2905" i="1"/>
  <c r="E2905" i="1"/>
  <c r="F2905" i="1"/>
  <c r="G2905" i="1"/>
  <c r="H2905" i="1"/>
  <c r="I2905" i="1"/>
  <c r="C2888" i="1"/>
  <c r="D2888" i="1"/>
  <c r="E2888" i="1"/>
  <c r="F2888" i="1"/>
  <c r="G2888" i="1"/>
  <c r="H2888" i="1"/>
  <c r="I2888" i="1"/>
  <c r="C2891" i="1"/>
  <c r="D2891" i="1"/>
  <c r="E2891" i="1"/>
  <c r="F2891" i="1"/>
  <c r="G2891" i="1"/>
  <c r="H2891" i="1"/>
  <c r="I2891" i="1"/>
  <c r="C2825" i="1"/>
  <c r="D2825" i="1"/>
  <c r="E2825" i="1"/>
  <c r="F2825" i="1"/>
  <c r="G2825" i="1"/>
  <c r="H2825" i="1"/>
  <c r="I2825" i="1"/>
  <c r="C2826" i="1"/>
  <c r="D2826" i="1"/>
  <c r="E2826" i="1"/>
  <c r="F2826" i="1"/>
  <c r="G2826" i="1"/>
  <c r="H2826" i="1"/>
  <c r="I2826" i="1"/>
  <c r="C2827" i="1"/>
  <c r="D2827" i="1"/>
  <c r="E2827" i="1"/>
  <c r="F2827" i="1"/>
  <c r="G2827" i="1"/>
  <c r="H2827" i="1"/>
  <c r="I2827" i="1"/>
  <c r="C2828" i="1"/>
  <c r="D2828" i="1"/>
  <c r="E2828" i="1"/>
  <c r="F2828" i="1"/>
  <c r="G2828" i="1"/>
  <c r="H2828" i="1"/>
  <c r="I2828" i="1"/>
  <c r="C2829" i="1"/>
  <c r="D2829" i="1"/>
  <c r="E2829" i="1"/>
  <c r="F2829" i="1"/>
  <c r="G2829" i="1"/>
  <c r="H2829" i="1"/>
  <c r="I2829" i="1"/>
  <c r="C2899" i="1"/>
  <c r="D2899" i="1"/>
  <c r="E2899" i="1"/>
  <c r="F2899" i="1"/>
  <c r="G2899" i="1"/>
  <c r="H2899" i="1"/>
  <c r="I2899" i="1"/>
  <c r="C2893" i="1"/>
  <c r="D2893" i="1"/>
  <c r="E2893" i="1"/>
  <c r="F2893" i="1"/>
  <c r="G2893" i="1"/>
  <c r="H2893" i="1"/>
  <c r="I2893" i="1"/>
  <c r="C2895" i="1"/>
  <c r="D2895" i="1"/>
  <c r="E2895" i="1"/>
  <c r="F2895" i="1"/>
  <c r="G2895" i="1"/>
  <c r="H2895" i="1"/>
  <c r="I2895" i="1"/>
  <c r="C2830" i="1"/>
  <c r="D2830" i="1"/>
  <c r="E2830" i="1"/>
  <c r="F2830" i="1"/>
  <c r="G2830" i="1"/>
  <c r="H2830" i="1"/>
  <c r="I2830" i="1"/>
  <c r="C2831" i="1"/>
  <c r="D2831" i="1"/>
  <c r="E2831" i="1"/>
  <c r="F2831" i="1"/>
  <c r="G2831" i="1"/>
  <c r="H2831" i="1"/>
  <c r="I2831" i="1"/>
  <c r="C2832" i="1"/>
  <c r="D2832" i="1"/>
  <c r="E2832" i="1"/>
  <c r="F2832" i="1"/>
  <c r="G2832" i="1"/>
  <c r="H2832" i="1"/>
  <c r="I2832" i="1"/>
  <c r="C2833" i="1"/>
  <c r="D2833" i="1"/>
  <c r="E2833" i="1"/>
  <c r="F2833" i="1"/>
  <c r="G2833" i="1"/>
  <c r="H2833" i="1"/>
  <c r="I2833" i="1"/>
  <c r="C3761" i="1"/>
  <c r="D3761" i="1"/>
  <c r="E3761" i="1"/>
  <c r="F3761" i="1"/>
  <c r="G3761" i="1"/>
  <c r="H3761" i="1"/>
  <c r="I3761" i="1"/>
  <c r="C2834" i="1"/>
  <c r="D2834" i="1"/>
  <c r="E2834" i="1"/>
  <c r="F2834" i="1"/>
  <c r="G2834" i="1"/>
  <c r="H2834" i="1"/>
  <c r="I2834" i="1"/>
  <c r="C2890" i="1"/>
  <c r="D2890" i="1"/>
  <c r="E2890" i="1"/>
  <c r="F2890" i="1"/>
  <c r="G2890" i="1"/>
  <c r="H2890" i="1"/>
  <c r="I2890" i="1"/>
  <c r="C2894" i="1"/>
  <c r="D2894" i="1"/>
  <c r="E2894" i="1"/>
  <c r="F2894" i="1"/>
  <c r="G2894" i="1"/>
  <c r="H2894" i="1"/>
  <c r="I2894" i="1"/>
  <c r="C2896" i="1"/>
  <c r="D2896" i="1"/>
  <c r="E2896" i="1"/>
  <c r="F2896" i="1"/>
  <c r="G2896" i="1"/>
  <c r="H2896" i="1"/>
  <c r="I2896" i="1"/>
  <c r="C2897" i="1"/>
  <c r="D2897" i="1"/>
  <c r="E2897" i="1"/>
  <c r="F2897" i="1"/>
  <c r="G2897" i="1"/>
  <c r="H2897" i="1"/>
  <c r="I2897" i="1"/>
  <c r="C2835" i="1"/>
  <c r="D2835" i="1"/>
  <c r="E2835" i="1"/>
  <c r="F2835" i="1"/>
  <c r="G2835" i="1"/>
  <c r="H2835" i="1"/>
  <c r="I2835" i="1"/>
  <c r="C1329" i="1"/>
  <c r="D1329" i="1"/>
  <c r="E1329" i="1"/>
  <c r="F1329" i="1"/>
  <c r="G1329" i="1"/>
  <c r="H1329" i="1"/>
  <c r="I1329" i="1"/>
  <c r="C2836" i="1"/>
  <c r="D2836" i="1"/>
  <c r="E2836" i="1"/>
  <c r="F2836" i="1"/>
  <c r="G2836" i="1"/>
  <c r="H2836" i="1"/>
  <c r="I2836" i="1"/>
  <c r="C2837" i="1"/>
  <c r="D2837" i="1"/>
  <c r="E2837" i="1"/>
  <c r="F2837" i="1"/>
  <c r="G2837" i="1"/>
  <c r="H2837" i="1"/>
  <c r="I2837" i="1"/>
  <c r="C2838" i="1"/>
  <c r="D2838" i="1"/>
  <c r="E2838" i="1"/>
  <c r="F2838" i="1"/>
  <c r="G2838" i="1"/>
  <c r="H2838" i="1"/>
  <c r="I2838" i="1"/>
  <c r="C2839" i="1"/>
  <c r="D2839" i="1"/>
  <c r="E2839" i="1"/>
  <c r="F2839" i="1"/>
  <c r="G2839" i="1"/>
  <c r="H2839" i="1"/>
  <c r="I2839" i="1"/>
  <c r="C2840" i="1"/>
  <c r="D2840" i="1"/>
  <c r="E2840" i="1"/>
  <c r="F2840" i="1"/>
  <c r="G2840" i="1"/>
  <c r="H2840" i="1"/>
  <c r="I2840" i="1"/>
  <c r="C2841" i="1"/>
  <c r="D2841" i="1"/>
  <c r="E2841" i="1"/>
  <c r="F2841" i="1"/>
  <c r="G2841" i="1"/>
  <c r="H2841" i="1"/>
  <c r="I2841" i="1"/>
  <c r="C2842" i="1"/>
  <c r="D2842" i="1"/>
  <c r="E2842" i="1"/>
  <c r="F2842" i="1"/>
  <c r="G2842" i="1"/>
  <c r="H2842" i="1"/>
  <c r="I2842" i="1"/>
  <c r="C2843" i="1"/>
  <c r="D2843" i="1"/>
  <c r="E2843" i="1"/>
  <c r="F2843" i="1"/>
  <c r="G2843" i="1"/>
  <c r="H2843" i="1"/>
  <c r="I2843" i="1"/>
  <c r="C2844" i="1"/>
  <c r="D2844" i="1"/>
  <c r="E2844" i="1"/>
  <c r="F2844" i="1"/>
  <c r="G2844" i="1"/>
  <c r="H2844" i="1"/>
  <c r="I2844" i="1"/>
  <c r="C2845" i="1"/>
  <c r="D2845" i="1"/>
  <c r="E2845" i="1"/>
  <c r="F2845" i="1"/>
  <c r="G2845" i="1"/>
  <c r="H2845" i="1"/>
  <c r="I2845" i="1"/>
  <c r="C2846" i="1"/>
  <c r="D2846" i="1"/>
  <c r="E2846" i="1"/>
  <c r="F2846" i="1"/>
  <c r="G2846" i="1"/>
  <c r="H2846" i="1"/>
  <c r="I2846" i="1"/>
  <c r="C2847" i="1"/>
  <c r="D2847" i="1"/>
  <c r="E2847" i="1"/>
  <c r="F2847" i="1"/>
  <c r="G2847" i="1"/>
  <c r="H2847" i="1"/>
  <c r="I2847" i="1"/>
  <c r="C2848" i="1"/>
  <c r="D2848" i="1"/>
  <c r="E2848" i="1"/>
  <c r="F2848" i="1"/>
  <c r="G2848" i="1"/>
  <c r="H2848" i="1"/>
  <c r="I2848" i="1"/>
  <c r="C2849" i="1"/>
  <c r="D2849" i="1"/>
  <c r="E2849" i="1"/>
  <c r="F2849" i="1"/>
  <c r="G2849" i="1"/>
  <c r="H2849" i="1"/>
  <c r="I2849" i="1"/>
  <c r="C2850" i="1"/>
  <c r="D2850" i="1"/>
  <c r="E2850" i="1"/>
  <c r="F2850" i="1"/>
  <c r="G2850" i="1"/>
  <c r="H2850" i="1"/>
  <c r="I2850" i="1"/>
  <c r="C2989" i="1"/>
  <c r="D2989" i="1"/>
  <c r="E2989" i="1"/>
  <c r="F2989" i="1"/>
  <c r="G2989" i="1"/>
  <c r="H2989" i="1"/>
  <c r="I2989" i="1"/>
  <c r="C2909" i="1"/>
  <c r="D2909" i="1"/>
  <c r="E2909" i="1"/>
  <c r="F2909" i="1"/>
  <c r="G2909" i="1"/>
  <c r="H2909" i="1"/>
  <c r="I2909" i="1"/>
  <c r="C2910" i="1"/>
  <c r="D2910" i="1"/>
  <c r="E2910" i="1"/>
  <c r="F2910" i="1"/>
  <c r="G2910" i="1"/>
  <c r="H2910" i="1"/>
  <c r="I2910" i="1"/>
  <c r="C2911" i="1"/>
  <c r="D2911" i="1"/>
  <c r="E2911" i="1"/>
  <c r="F2911" i="1"/>
  <c r="G2911" i="1"/>
  <c r="H2911" i="1"/>
  <c r="I2911" i="1"/>
  <c r="C2021" i="1"/>
  <c r="D2021" i="1"/>
  <c r="E2021" i="1"/>
  <c r="F2021" i="1"/>
  <c r="G2021" i="1"/>
  <c r="H2021" i="1"/>
  <c r="I2021" i="1"/>
  <c r="C2912" i="1"/>
  <c r="D2912" i="1"/>
  <c r="E2912" i="1"/>
  <c r="F2912" i="1"/>
  <c r="G2912" i="1"/>
  <c r="H2912" i="1"/>
  <c r="I2912" i="1"/>
  <c r="C2913" i="1"/>
  <c r="D2913" i="1"/>
  <c r="E2913" i="1"/>
  <c r="F2913" i="1"/>
  <c r="G2913" i="1"/>
  <c r="H2913" i="1"/>
  <c r="I2913" i="1"/>
  <c r="C2990" i="1"/>
  <c r="D2990" i="1"/>
  <c r="E2990" i="1"/>
  <c r="F2990" i="1"/>
  <c r="G2990" i="1"/>
  <c r="H2990" i="1"/>
  <c r="I2990" i="1"/>
  <c r="C2914" i="1"/>
  <c r="D2914" i="1"/>
  <c r="E2914" i="1"/>
  <c r="F2914" i="1"/>
  <c r="G2914" i="1"/>
  <c r="H2914" i="1"/>
  <c r="I2914" i="1"/>
  <c r="C2915" i="1"/>
  <c r="D2915" i="1"/>
  <c r="E2915" i="1"/>
  <c r="F2915" i="1"/>
  <c r="G2915" i="1"/>
  <c r="H2915" i="1"/>
  <c r="I2915" i="1"/>
  <c r="C2916" i="1"/>
  <c r="D2916" i="1"/>
  <c r="E2916" i="1"/>
  <c r="F2916" i="1"/>
  <c r="G2916" i="1"/>
  <c r="H2916" i="1"/>
  <c r="I2916" i="1"/>
  <c r="C2917" i="1"/>
  <c r="D2917" i="1"/>
  <c r="E2917" i="1"/>
  <c r="F2917" i="1"/>
  <c r="G2917" i="1"/>
  <c r="H2917" i="1"/>
  <c r="I2917" i="1"/>
  <c r="C2918" i="1"/>
  <c r="D2918" i="1"/>
  <c r="E2918" i="1"/>
  <c r="F2918" i="1"/>
  <c r="G2918" i="1"/>
  <c r="H2918" i="1"/>
  <c r="I2918" i="1"/>
  <c r="C2919" i="1"/>
  <c r="D2919" i="1"/>
  <c r="E2919" i="1"/>
  <c r="F2919" i="1"/>
  <c r="G2919" i="1"/>
  <c r="H2919" i="1"/>
  <c r="I2919" i="1"/>
  <c r="C2920" i="1"/>
  <c r="D2920" i="1"/>
  <c r="E2920" i="1"/>
  <c r="F2920" i="1"/>
  <c r="G2920" i="1"/>
  <c r="H2920" i="1"/>
  <c r="I2920" i="1"/>
  <c r="C2921" i="1"/>
  <c r="D2921" i="1"/>
  <c r="E2921" i="1"/>
  <c r="F2921" i="1"/>
  <c r="G2921" i="1"/>
  <c r="H2921" i="1"/>
  <c r="I2921" i="1"/>
  <c r="C2922" i="1"/>
  <c r="D2922" i="1"/>
  <c r="E2922" i="1"/>
  <c r="F2922" i="1"/>
  <c r="G2922" i="1"/>
  <c r="H2922" i="1"/>
  <c r="I2922" i="1"/>
  <c r="C2923" i="1"/>
  <c r="D2923" i="1"/>
  <c r="E2923" i="1"/>
  <c r="F2923" i="1"/>
  <c r="G2923" i="1"/>
  <c r="H2923" i="1"/>
  <c r="I2923" i="1"/>
  <c r="C2924" i="1"/>
  <c r="D2924" i="1"/>
  <c r="E2924" i="1"/>
  <c r="F2924" i="1"/>
  <c r="G2924" i="1"/>
  <c r="H2924" i="1"/>
  <c r="I2924" i="1"/>
  <c r="C2925" i="1"/>
  <c r="D2925" i="1"/>
  <c r="E2925" i="1"/>
  <c r="F2925" i="1"/>
  <c r="G2925" i="1"/>
  <c r="H2925" i="1"/>
  <c r="I2925" i="1"/>
  <c r="C2926" i="1"/>
  <c r="D2926" i="1"/>
  <c r="E2926" i="1"/>
  <c r="F2926" i="1"/>
  <c r="G2926" i="1"/>
  <c r="H2926" i="1"/>
  <c r="I2926" i="1"/>
  <c r="C2927" i="1"/>
  <c r="D2927" i="1"/>
  <c r="E2927" i="1"/>
  <c r="F2927" i="1"/>
  <c r="G2927" i="1"/>
  <c r="H2927" i="1"/>
  <c r="I2927" i="1"/>
  <c r="C2928" i="1"/>
  <c r="D2928" i="1"/>
  <c r="E2928" i="1"/>
  <c r="F2928" i="1"/>
  <c r="G2928" i="1"/>
  <c r="H2928" i="1"/>
  <c r="I2928" i="1"/>
  <c r="C2988" i="1"/>
  <c r="D2988" i="1"/>
  <c r="E2988" i="1"/>
  <c r="F2988" i="1"/>
  <c r="G2988" i="1"/>
  <c r="H2988" i="1"/>
  <c r="I2988" i="1"/>
  <c r="C2929" i="1"/>
  <c r="D2929" i="1"/>
  <c r="E2929" i="1"/>
  <c r="F2929" i="1"/>
  <c r="G2929" i="1"/>
  <c r="H2929" i="1"/>
  <c r="I2929" i="1"/>
  <c r="C2930" i="1"/>
  <c r="D2930" i="1"/>
  <c r="E2930" i="1"/>
  <c r="F2930" i="1"/>
  <c r="G2930" i="1"/>
  <c r="H2930" i="1"/>
  <c r="I2930" i="1"/>
  <c r="C2931" i="1"/>
  <c r="D2931" i="1"/>
  <c r="E2931" i="1"/>
  <c r="F2931" i="1"/>
  <c r="G2931" i="1"/>
  <c r="H2931" i="1"/>
  <c r="I2931" i="1"/>
  <c r="C2932" i="1"/>
  <c r="D2932" i="1"/>
  <c r="E2932" i="1"/>
  <c r="F2932" i="1"/>
  <c r="G2932" i="1"/>
  <c r="H2932" i="1"/>
  <c r="I2932" i="1"/>
  <c r="C2401" i="1"/>
  <c r="D2401" i="1"/>
  <c r="E2401" i="1"/>
  <c r="F2401" i="1"/>
  <c r="G2401" i="1"/>
  <c r="H2401" i="1"/>
  <c r="I2401" i="1"/>
  <c r="C2933" i="1"/>
  <c r="D2933" i="1"/>
  <c r="E2933" i="1"/>
  <c r="F2933" i="1"/>
  <c r="G2933" i="1"/>
  <c r="H2933" i="1"/>
  <c r="I2933" i="1"/>
  <c r="C2934" i="1"/>
  <c r="D2934" i="1"/>
  <c r="E2934" i="1"/>
  <c r="F2934" i="1"/>
  <c r="G2934" i="1"/>
  <c r="H2934" i="1"/>
  <c r="I2934" i="1"/>
  <c r="C2935" i="1"/>
  <c r="D2935" i="1"/>
  <c r="E2935" i="1"/>
  <c r="F2935" i="1"/>
  <c r="G2935" i="1"/>
  <c r="H2935" i="1"/>
  <c r="I2935" i="1"/>
  <c r="C2936" i="1"/>
  <c r="D2936" i="1"/>
  <c r="E2936" i="1"/>
  <c r="F2936" i="1"/>
  <c r="G2936" i="1"/>
  <c r="H2936" i="1"/>
  <c r="I2936" i="1"/>
  <c r="C2937" i="1"/>
  <c r="D2937" i="1"/>
  <c r="E2937" i="1"/>
  <c r="F2937" i="1"/>
  <c r="G2937" i="1"/>
  <c r="H2937" i="1"/>
  <c r="I2937" i="1"/>
  <c r="C2938" i="1"/>
  <c r="D2938" i="1"/>
  <c r="E2938" i="1"/>
  <c r="F2938" i="1"/>
  <c r="G2938" i="1"/>
  <c r="H2938" i="1"/>
  <c r="I2938" i="1"/>
  <c r="C2955" i="1"/>
  <c r="D2955" i="1"/>
  <c r="E2955" i="1"/>
  <c r="F2955" i="1"/>
  <c r="G2955" i="1"/>
  <c r="H2955" i="1"/>
  <c r="I2955" i="1"/>
  <c r="C2956" i="1"/>
  <c r="D2956" i="1"/>
  <c r="E2956" i="1"/>
  <c r="F2956" i="1"/>
  <c r="G2956" i="1"/>
  <c r="H2956" i="1"/>
  <c r="I2956" i="1"/>
  <c r="C2957" i="1"/>
  <c r="D2957" i="1"/>
  <c r="E2957" i="1"/>
  <c r="F2957" i="1"/>
  <c r="G2957" i="1"/>
  <c r="H2957" i="1"/>
  <c r="I2957" i="1"/>
  <c r="C2958" i="1"/>
  <c r="D2958" i="1"/>
  <c r="E2958" i="1"/>
  <c r="F2958" i="1"/>
  <c r="G2958" i="1"/>
  <c r="H2958" i="1"/>
  <c r="I2958" i="1"/>
  <c r="C2959" i="1"/>
  <c r="D2959" i="1"/>
  <c r="E2959" i="1"/>
  <c r="F2959" i="1"/>
  <c r="G2959" i="1"/>
  <c r="H2959" i="1"/>
  <c r="I2959" i="1"/>
  <c r="C2960" i="1"/>
  <c r="D2960" i="1"/>
  <c r="E2960" i="1"/>
  <c r="F2960" i="1"/>
  <c r="G2960" i="1"/>
  <c r="H2960" i="1"/>
  <c r="I2960" i="1"/>
  <c r="C2961" i="1"/>
  <c r="D2961" i="1"/>
  <c r="E2961" i="1"/>
  <c r="F2961" i="1"/>
  <c r="G2961" i="1"/>
  <c r="H2961" i="1"/>
  <c r="I2961" i="1"/>
  <c r="C2962" i="1"/>
  <c r="D2962" i="1"/>
  <c r="E2962" i="1"/>
  <c r="F2962" i="1"/>
  <c r="G2962" i="1"/>
  <c r="H2962" i="1"/>
  <c r="I2962" i="1"/>
  <c r="C2963" i="1"/>
  <c r="D2963" i="1"/>
  <c r="E2963" i="1"/>
  <c r="F2963" i="1"/>
  <c r="G2963" i="1"/>
  <c r="H2963" i="1"/>
  <c r="I2963" i="1"/>
  <c r="C2964" i="1"/>
  <c r="D2964" i="1"/>
  <c r="E2964" i="1"/>
  <c r="F2964" i="1"/>
  <c r="G2964" i="1"/>
  <c r="H2964" i="1"/>
  <c r="I2964" i="1"/>
  <c r="C2965" i="1"/>
  <c r="D2965" i="1"/>
  <c r="E2965" i="1"/>
  <c r="F2965" i="1"/>
  <c r="G2965" i="1"/>
  <c r="H2965" i="1"/>
  <c r="I2965" i="1"/>
  <c r="C2966" i="1"/>
  <c r="D2966" i="1"/>
  <c r="E2966" i="1"/>
  <c r="F2966" i="1"/>
  <c r="G2966" i="1"/>
  <c r="H2966" i="1"/>
  <c r="I2966" i="1"/>
  <c r="C2276" i="1"/>
  <c r="D2276" i="1"/>
  <c r="E2276" i="1"/>
  <c r="F2276" i="1"/>
  <c r="G2276" i="1"/>
  <c r="H2276" i="1"/>
  <c r="I2276" i="1"/>
  <c r="C2967" i="1"/>
  <c r="D2967" i="1"/>
  <c r="E2967" i="1"/>
  <c r="F2967" i="1"/>
  <c r="G2967" i="1"/>
  <c r="H2967" i="1"/>
  <c r="I2967" i="1"/>
  <c r="C2968" i="1"/>
  <c r="D2968" i="1"/>
  <c r="E2968" i="1"/>
  <c r="F2968" i="1"/>
  <c r="G2968" i="1"/>
  <c r="H2968" i="1"/>
  <c r="I2968" i="1"/>
  <c r="C2969" i="1"/>
  <c r="D2969" i="1"/>
  <c r="E2969" i="1"/>
  <c r="F2969" i="1"/>
  <c r="G2969" i="1"/>
  <c r="H2969" i="1"/>
  <c r="I2969" i="1"/>
  <c r="C2970" i="1"/>
  <c r="D2970" i="1"/>
  <c r="E2970" i="1"/>
  <c r="F2970" i="1"/>
  <c r="G2970" i="1"/>
  <c r="H2970" i="1"/>
  <c r="I2970" i="1"/>
  <c r="C2996" i="1"/>
  <c r="D2996" i="1"/>
  <c r="E2996" i="1"/>
  <c r="F2996" i="1"/>
  <c r="G2996" i="1"/>
  <c r="H2996" i="1"/>
  <c r="I2996" i="1"/>
  <c r="C2997" i="1"/>
  <c r="D2997" i="1"/>
  <c r="E2997" i="1"/>
  <c r="F2997" i="1"/>
  <c r="G2997" i="1"/>
  <c r="H2997" i="1"/>
  <c r="I2997" i="1"/>
  <c r="C2998" i="1"/>
  <c r="D2998" i="1"/>
  <c r="E2998" i="1"/>
  <c r="F2998" i="1"/>
  <c r="G2998" i="1"/>
  <c r="H2998" i="1"/>
  <c r="I2998" i="1"/>
  <c r="C2999" i="1"/>
  <c r="D2999" i="1"/>
  <c r="E2999" i="1"/>
  <c r="F2999" i="1"/>
  <c r="G2999" i="1"/>
  <c r="H2999" i="1"/>
  <c r="I2999" i="1"/>
  <c r="C3000" i="1"/>
  <c r="D3000" i="1"/>
  <c r="E3000" i="1"/>
  <c r="F3000" i="1"/>
  <c r="G3000" i="1"/>
  <c r="H3000" i="1"/>
  <c r="I3000" i="1"/>
  <c r="C3001" i="1"/>
  <c r="D3001" i="1"/>
  <c r="E3001" i="1"/>
  <c r="F3001" i="1"/>
  <c r="G3001" i="1"/>
  <c r="H3001" i="1"/>
  <c r="I3001" i="1"/>
  <c r="C3002" i="1"/>
  <c r="D3002" i="1"/>
  <c r="E3002" i="1"/>
  <c r="F3002" i="1"/>
  <c r="G3002" i="1"/>
  <c r="H3002" i="1"/>
  <c r="I3002" i="1"/>
  <c r="C3003" i="1"/>
  <c r="D3003" i="1"/>
  <c r="E3003" i="1"/>
  <c r="F3003" i="1"/>
  <c r="G3003" i="1"/>
  <c r="H3003" i="1"/>
  <c r="I3003" i="1"/>
  <c r="C3004" i="1"/>
  <c r="D3004" i="1"/>
  <c r="E3004" i="1"/>
  <c r="F3004" i="1"/>
  <c r="G3004" i="1"/>
  <c r="H3004" i="1"/>
  <c r="I3004" i="1"/>
  <c r="C3005" i="1"/>
  <c r="D3005" i="1"/>
  <c r="E3005" i="1"/>
  <c r="F3005" i="1"/>
  <c r="G3005" i="1"/>
  <c r="H3005" i="1"/>
  <c r="I3005" i="1"/>
  <c r="C1196" i="1"/>
  <c r="D1196" i="1"/>
  <c r="E1196" i="1"/>
  <c r="F1196" i="1"/>
  <c r="G1196" i="1"/>
  <c r="H1196" i="1"/>
  <c r="I1196" i="1"/>
  <c r="C3006" i="1"/>
  <c r="D3006" i="1"/>
  <c r="E3006" i="1"/>
  <c r="F3006" i="1"/>
  <c r="G3006" i="1"/>
  <c r="H3006" i="1"/>
  <c r="I3006" i="1"/>
  <c r="C3007" i="1"/>
  <c r="D3007" i="1"/>
  <c r="E3007" i="1"/>
  <c r="F3007" i="1"/>
  <c r="G3007" i="1"/>
  <c r="H3007" i="1"/>
  <c r="I3007" i="1"/>
  <c r="C3008" i="1"/>
  <c r="D3008" i="1"/>
  <c r="E3008" i="1"/>
  <c r="F3008" i="1"/>
  <c r="G3008" i="1"/>
  <c r="H3008" i="1"/>
  <c r="I3008" i="1"/>
  <c r="C3009" i="1"/>
  <c r="D3009" i="1"/>
  <c r="E3009" i="1"/>
  <c r="F3009" i="1"/>
  <c r="G3009" i="1"/>
  <c r="H3009" i="1"/>
  <c r="I3009" i="1"/>
  <c r="C3010" i="1"/>
  <c r="D3010" i="1"/>
  <c r="E3010" i="1"/>
  <c r="F3010" i="1"/>
  <c r="G3010" i="1"/>
  <c r="H3010" i="1"/>
  <c r="I3010" i="1"/>
  <c r="C3011" i="1"/>
  <c r="D3011" i="1"/>
  <c r="E3011" i="1"/>
  <c r="F3011" i="1"/>
  <c r="G3011" i="1"/>
  <c r="H3011" i="1"/>
  <c r="I3011" i="1"/>
  <c r="C3012" i="1"/>
  <c r="D3012" i="1"/>
  <c r="E3012" i="1"/>
  <c r="F3012" i="1"/>
  <c r="G3012" i="1"/>
  <c r="H3012" i="1"/>
  <c r="I3012" i="1"/>
  <c r="C3013" i="1"/>
  <c r="D3013" i="1"/>
  <c r="E3013" i="1"/>
  <c r="F3013" i="1"/>
  <c r="G3013" i="1"/>
  <c r="H3013" i="1"/>
  <c r="I3013" i="1"/>
  <c r="C3014" i="1"/>
  <c r="D3014" i="1"/>
  <c r="E3014" i="1"/>
  <c r="F3014" i="1"/>
  <c r="G3014" i="1"/>
  <c r="H3014" i="1"/>
  <c r="I3014" i="1"/>
  <c r="C3015" i="1"/>
  <c r="D3015" i="1"/>
  <c r="E3015" i="1"/>
  <c r="F3015" i="1"/>
  <c r="G3015" i="1"/>
  <c r="H3015" i="1"/>
  <c r="I3015" i="1"/>
  <c r="C3016" i="1"/>
  <c r="D3016" i="1"/>
  <c r="E3016" i="1"/>
  <c r="F3016" i="1"/>
  <c r="G3016" i="1"/>
  <c r="H3016" i="1"/>
  <c r="I3016" i="1"/>
  <c r="C3017" i="1"/>
  <c r="D3017" i="1"/>
  <c r="E3017" i="1"/>
  <c r="F3017" i="1"/>
  <c r="G3017" i="1"/>
  <c r="H3017" i="1"/>
  <c r="I3017" i="1"/>
  <c r="C3018" i="1"/>
  <c r="D3018" i="1"/>
  <c r="E3018" i="1"/>
  <c r="F3018" i="1"/>
  <c r="G3018" i="1"/>
  <c r="H3018" i="1"/>
  <c r="I3018" i="1"/>
  <c r="C3019" i="1"/>
  <c r="D3019" i="1"/>
  <c r="E3019" i="1"/>
  <c r="F3019" i="1"/>
  <c r="G3019" i="1"/>
  <c r="H3019" i="1"/>
  <c r="I3019" i="1"/>
  <c r="C3020" i="1"/>
  <c r="D3020" i="1"/>
  <c r="E3020" i="1"/>
  <c r="F3020" i="1"/>
  <c r="G3020" i="1"/>
  <c r="H3020" i="1"/>
  <c r="I3020" i="1"/>
  <c r="C4063" i="1"/>
  <c r="D4063" i="1"/>
  <c r="E4063" i="1"/>
  <c r="F4063" i="1"/>
  <c r="G4063" i="1"/>
  <c r="H4063" i="1"/>
  <c r="I4063" i="1"/>
  <c r="C3021" i="1"/>
  <c r="D3021" i="1"/>
  <c r="E3021" i="1"/>
  <c r="F3021" i="1"/>
  <c r="G3021" i="1"/>
  <c r="H3021" i="1"/>
  <c r="I3021" i="1"/>
  <c r="C3022" i="1"/>
  <c r="D3022" i="1"/>
  <c r="E3022" i="1"/>
  <c r="F3022" i="1"/>
  <c r="G3022" i="1"/>
  <c r="H3022" i="1"/>
  <c r="I3022" i="1"/>
  <c r="C3023" i="1"/>
  <c r="D3023" i="1"/>
  <c r="E3023" i="1"/>
  <c r="F3023" i="1"/>
  <c r="G3023" i="1"/>
  <c r="H3023" i="1"/>
  <c r="I3023" i="1"/>
  <c r="C3024" i="1"/>
  <c r="D3024" i="1"/>
  <c r="E3024" i="1"/>
  <c r="F3024" i="1"/>
  <c r="G3024" i="1"/>
  <c r="H3024" i="1"/>
  <c r="I3024" i="1"/>
  <c r="C3025" i="1"/>
  <c r="D3025" i="1"/>
  <c r="E3025" i="1"/>
  <c r="F3025" i="1"/>
  <c r="G3025" i="1"/>
  <c r="H3025" i="1"/>
  <c r="I3025" i="1"/>
  <c r="C3026" i="1"/>
  <c r="D3026" i="1"/>
  <c r="E3026" i="1"/>
  <c r="F3026" i="1"/>
  <c r="G3026" i="1"/>
  <c r="H3026" i="1"/>
  <c r="I3026" i="1"/>
  <c r="C3027" i="1"/>
  <c r="D3027" i="1"/>
  <c r="E3027" i="1"/>
  <c r="F3027" i="1"/>
  <c r="G3027" i="1"/>
  <c r="H3027" i="1"/>
  <c r="I3027" i="1"/>
  <c r="C3028" i="1"/>
  <c r="D3028" i="1"/>
  <c r="E3028" i="1"/>
  <c r="F3028" i="1"/>
  <c r="G3028" i="1"/>
  <c r="H3028" i="1"/>
  <c r="I3028" i="1"/>
  <c r="C3029" i="1"/>
  <c r="D3029" i="1"/>
  <c r="E3029" i="1"/>
  <c r="F3029" i="1"/>
  <c r="G3029" i="1"/>
  <c r="H3029" i="1"/>
  <c r="I3029" i="1"/>
  <c r="C3030" i="1"/>
  <c r="D3030" i="1"/>
  <c r="E3030" i="1"/>
  <c r="F3030" i="1"/>
  <c r="G3030" i="1"/>
  <c r="H3030" i="1"/>
  <c r="I3030" i="1"/>
  <c r="C3031" i="1"/>
  <c r="D3031" i="1"/>
  <c r="E3031" i="1"/>
  <c r="F3031" i="1"/>
  <c r="G3031" i="1"/>
  <c r="H3031" i="1"/>
  <c r="I3031" i="1"/>
  <c r="C3032" i="1"/>
  <c r="D3032" i="1"/>
  <c r="E3032" i="1"/>
  <c r="F3032" i="1"/>
  <c r="G3032" i="1"/>
  <c r="H3032" i="1"/>
  <c r="I3032" i="1"/>
  <c r="C3033" i="1"/>
  <c r="D3033" i="1"/>
  <c r="E3033" i="1"/>
  <c r="F3033" i="1"/>
  <c r="G3033" i="1"/>
  <c r="H3033" i="1"/>
  <c r="I3033" i="1"/>
  <c r="C3072" i="1"/>
  <c r="D3072" i="1"/>
  <c r="E3072" i="1"/>
  <c r="F3072" i="1"/>
  <c r="G3072" i="1"/>
  <c r="H3072" i="1"/>
  <c r="I3072" i="1"/>
  <c r="C3073" i="1"/>
  <c r="D3073" i="1"/>
  <c r="E3073" i="1"/>
  <c r="F3073" i="1"/>
  <c r="G3073" i="1"/>
  <c r="H3073" i="1"/>
  <c r="I3073" i="1"/>
  <c r="C3074" i="1"/>
  <c r="D3074" i="1"/>
  <c r="E3074" i="1"/>
  <c r="F3074" i="1"/>
  <c r="G3074" i="1"/>
  <c r="H3074" i="1"/>
  <c r="I3074" i="1"/>
  <c r="C3075" i="1"/>
  <c r="D3075" i="1"/>
  <c r="E3075" i="1"/>
  <c r="F3075" i="1"/>
  <c r="G3075" i="1"/>
  <c r="H3075" i="1"/>
  <c r="I3075" i="1"/>
  <c r="C3076" i="1"/>
  <c r="D3076" i="1"/>
  <c r="E3076" i="1"/>
  <c r="F3076" i="1"/>
  <c r="G3076" i="1"/>
  <c r="H3076" i="1"/>
  <c r="I3076" i="1"/>
  <c r="C3077" i="1"/>
  <c r="D3077" i="1"/>
  <c r="E3077" i="1"/>
  <c r="F3077" i="1"/>
  <c r="G3077" i="1"/>
  <c r="H3077" i="1"/>
  <c r="I3077" i="1"/>
  <c r="C3078" i="1"/>
  <c r="D3078" i="1"/>
  <c r="E3078" i="1"/>
  <c r="F3078" i="1"/>
  <c r="G3078" i="1"/>
  <c r="H3078" i="1"/>
  <c r="I3078" i="1"/>
  <c r="C3079" i="1"/>
  <c r="D3079" i="1"/>
  <c r="E3079" i="1"/>
  <c r="F3079" i="1"/>
  <c r="G3079" i="1"/>
  <c r="H3079" i="1"/>
  <c r="I3079" i="1"/>
  <c r="C3080" i="1"/>
  <c r="D3080" i="1"/>
  <c r="E3080" i="1"/>
  <c r="F3080" i="1"/>
  <c r="G3080" i="1"/>
  <c r="H3080" i="1"/>
  <c r="I3080" i="1"/>
  <c r="C3081" i="1"/>
  <c r="D3081" i="1"/>
  <c r="E3081" i="1"/>
  <c r="F3081" i="1"/>
  <c r="G3081" i="1"/>
  <c r="H3081" i="1"/>
  <c r="I3081" i="1"/>
  <c r="C3082" i="1"/>
  <c r="D3082" i="1"/>
  <c r="E3082" i="1"/>
  <c r="F3082" i="1"/>
  <c r="G3082" i="1"/>
  <c r="H3082" i="1"/>
  <c r="I3082" i="1"/>
  <c r="C3083" i="1"/>
  <c r="D3083" i="1"/>
  <c r="E3083" i="1"/>
  <c r="F3083" i="1"/>
  <c r="G3083" i="1"/>
  <c r="H3083" i="1"/>
  <c r="I3083" i="1"/>
  <c r="C3084" i="1"/>
  <c r="D3084" i="1"/>
  <c r="E3084" i="1"/>
  <c r="F3084" i="1"/>
  <c r="G3084" i="1"/>
  <c r="H3084" i="1"/>
  <c r="I3084" i="1"/>
  <c r="C3085" i="1"/>
  <c r="D3085" i="1"/>
  <c r="E3085" i="1"/>
  <c r="F3085" i="1"/>
  <c r="G3085" i="1"/>
  <c r="H3085" i="1"/>
  <c r="I3085" i="1"/>
  <c r="C2636" i="1"/>
  <c r="D2636" i="1"/>
  <c r="E2636" i="1"/>
  <c r="F2636" i="1"/>
  <c r="G2636" i="1"/>
  <c r="H2636" i="1"/>
  <c r="I2636" i="1"/>
  <c r="C3086" i="1"/>
  <c r="D3086" i="1"/>
  <c r="E3086" i="1"/>
  <c r="F3086" i="1"/>
  <c r="G3086" i="1"/>
  <c r="H3086" i="1"/>
  <c r="I3086" i="1"/>
  <c r="C3087" i="1"/>
  <c r="D3087" i="1"/>
  <c r="E3087" i="1"/>
  <c r="F3087" i="1"/>
  <c r="G3087" i="1"/>
  <c r="H3087" i="1"/>
  <c r="I3087" i="1"/>
  <c r="C3088" i="1"/>
  <c r="D3088" i="1"/>
  <c r="E3088" i="1"/>
  <c r="F3088" i="1"/>
  <c r="G3088" i="1"/>
  <c r="H3088" i="1"/>
  <c r="I3088" i="1"/>
  <c r="C3089" i="1"/>
  <c r="D3089" i="1"/>
  <c r="E3089" i="1"/>
  <c r="F3089" i="1"/>
  <c r="G3089" i="1"/>
  <c r="H3089" i="1"/>
  <c r="I3089" i="1"/>
  <c r="C3090" i="1"/>
  <c r="D3090" i="1"/>
  <c r="E3090" i="1"/>
  <c r="F3090" i="1"/>
  <c r="G3090" i="1"/>
  <c r="H3090" i="1"/>
  <c r="I3090" i="1"/>
  <c r="C2277" i="1"/>
  <c r="D2277" i="1"/>
  <c r="E2277" i="1"/>
  <c r="F2277" i="1"/>
  <c r="G2277" i="1"/>
  <c r="H2277" i="1"/>
  <c r="I2277" i="1"/>
  <c r="C3091" i="1"/>
  <c r="D3091" i="1"/>
  <c r="E3091" i="1"/>
  <c r="F3091" i="1"/>
  <c r="G3091" i="1"/>
  <c r="H3091" i="1"/>
  <c r="I3091" i="1"/>
  <c r="C3092" i="1"/>
  <c r="D3092" i="1"/>
  <c r="E3092" i="1"/>
  <c r="F3092" i="1"/>
  <c r="G3092" i="1"/>
  <c r="H3092" i="1"/>
  <c r="I3092" i="1"/>
  <c r="C3093" i="1"/>
  <c r="D3093" i="1"/>
  <c r="E3093" i="1"/>
  <c r="F3093" i="1"/>
  <c r="G3093" i="1"/>
  <c r="H3093" i="1"/>
  <c r="I3093" i="1"/>
  <c r="C3094" i="1"/>
  <c r="D3094" i="1"/>
  <c r="E3094" i="1"/>
  <c r="F3094" i="1"/>
  <c r="G3094" i="1"/>
  <c r="H3094" i="1"/>
  <c r="I3094" i="1"/>
  <c r="C3095" i="1"/>
  <c r="D3095" i="1"/>
  <c r="E3095" i="1"/>
  <c r="F3095" i="1"/>
  <c r="G3095" i="1"/>
  <c r="H3095" i="1"/>
  <c r="I3095" i="1"/>
  <c r="C3096" i="1"/>
  <c r="D3096" i="1"/>
  <c r="E3096" i="1"/>
  <c r="F3096" i="1"/>
  <c r="G3096" i="1"/>
  <c r="H3096" i="1"/>
  <c r="I3096" i="1"/>
  <c r="C3097" i="1"/>
  <c r="D3097" i="1"/>
  <c r="E3097" i="1"/>
  <c r="F3097" i="1"/>
  <c r="G3097" i="1"/>
  <c r="H3097" i="1"/>
  <c r="I3097" i="1"/>
  <c r="C3098" i="1"/>
  <c r="D3098" i="1"/>
  <c r="E3098" i="1"/>
  <c r="F3098" i="1"/>
  <c r="G3098" i="1"/>
  <c r="H3098" i="1"/>
  <c r="I3098" i="1"/>
  <c r="C3099" i="1"/>
  <c r="D3099" i="1"/>
  <c r="E3099" i="1"/>
  <c r="F3099" i="1"/>
  <c r="G3099" i="1"/>
  <c r="H3099" i="1"/>
  <c r="I3099" i="1"/>
  <c r="C3100" i="1"/>
  <c r="D3100" i="1"/>
  <c r="E3100" i="1"/>
  <c r="F3100" i="1"/>
  <c r="G3100" i="1"/>
  <c r="H3100" i="1"/>
  <c r="I3100" i="1"/>
  <c r="C3101" i="1"/>
  <c r="D3101" i="1"/>
  <c r="E3101" i="1"/>
  <c r="F3101" i="1"/>
  <c r="G3101" i="1"/>
  <c r="H3101" i="1"/>
  <c r="I3101" i="1"/>
  <c r="C3102" i="1"/>
  <c r="D3102" i="1"/>
  <c r="E3102" i="1"/>
  <c r="F3102" i="1"/>
  <c r="G3102" i="1"/>
  <c r="H3102" i="1"/>
  <c r="I3102" i="1"/>
  <c r="C3103" i="1"/>
  <c r="D3103" i="1"/>
  <c r="E3103" i="1"/>
  <c r="F3103" i="1"/>
  <c r="G3103" i="1"/>
  <c r="H3103" i="1"/>
  <c r="I3103" i="1"/>
  <c r="C3104" i="1"/>
  <c r="D3104" i="1"/>
  <c r="E3104" i="1"/>
  <c r="F3104" i="1"/>
  <c r="G3104" i="1"/>
  <c r="H3104" i="1"/>
  <c r="I3104" i="1"/>
  <c r="C3132" i="1"/>
  <c r="D3132" i="1"/>
  <c r="E3132" i="1"/>
  <c r="F3132" i="1"/>
  <c r="G3132" i="1"/>
  <c r="H3132" i="1"/>
  <c r="I3132" i="1"/>
  <c r="C3133" i="1"/>
  <c r="D3133" i="1"/>
  <c r="E3133" i="1"/>
  <c r="F3133" i="1"/>
  <c r="G3133" i="1"/>
  <c r="H3133" i="1"/>
  <c r="I3133" i="1"/>
  <c r="C3134" i="1"/>
  <c r="D3134" i="1"/>
  <c r="E3134" i="1"/>
  <c r="F3134" i="1"/>
  <c r="G3134" i="1"/>
  <c r="H3134" i="1"/>
  <c r="I3134" i="1"/>
  <c r="C3135" i="1"/>
  <c r="D3135" i="1"/>
  <c r="E3135" i="1"/>
  <c r="F3135" i="1"/>
  <c r="G3135" i="1"/>
  <c r="H3135" i="1"/>
  <c r="I3135" i="1"/>
  <c r="C3136" i="1"/>
  <c r="D3136" i="1"/>
  <c r="E3136" i="1"/>
  <c r="F3136" i="1"/>
  <c r="G3136" i="1"/>
  <c r="H3136" i="1"/>
  <c r="I3136" i="1"/>
  <c r="C3137" i="1"/>
  <c r="D3137" i="1"/>
  <c r="E3137" i="1"/>
  <c r="F3137" i="1"/>
  <c r="G3137" i="1"/>
  <c r="H3137" i="1"/>
  <c r="I3137" i="1"/>
  <c r="C3138" i="1"/>
  <c r="D3138" i="1"/>
  <c r="E3138" i="1"/>
  <c r="F3138" i="1"/>
  <c r="G3138" i="1"/>
  <c r="H3138" i="1"/>
  <c r="I3138" i="1"/>
  <c r="C3139" i="1"/>
  <c r="D3139" i="1"/>
  <c r="E3139" i="1"/>
  <c r="F3139" i="1"/>
  <c r="G3139" i="1"/>
  <c r="H3139" i="1"/>
  <c r="I3139" i="1"/>
  <c r="C3140" i="1"/>
  <c r="D3140" i="1"/>
  <c r="E3140" i="1"/>
  <c r="F3140" i="1"/>
  <c r="G3140" i="1"/>
  <c r="H3140" i="1"/>
  <c r="I3140" i="1"/>
  <c r="C3141" i="1"/>
  <c r="D3141" i="1"/>
  <c r="E3141" i="1"/>
  <c r="F3141" i="1"/>
  <c r="G3141" i="1"/>
  <c r="H3141" i="1"/>
  <c r="I3141" i="1"/>
  <c r="C3142" i="1"/>
  <c r="D3142" i="1"/>
  <c r="E3142" i="1"/>
  <c r="F3142" i="1"/>
  <c r="G3142" i="1"/>
  <c r="H3142" i="1"/>
  <c r="I3142" i="1"/>
  <c r="C3143" i="1"/>
  <c r="D3143" i="1"/>
  <c r="E3143" i="1"/>
  <c r="F3143" i="1"/>
  <c r="G3143" i="1"/>
  <c r="H3143" i="1"/>
  <c r="I3143" i="1"/>
  <c r="C3144" i="1"/>
  <c r="D3144" i="1"/>
  <c r="E3144" i="1"/>
  <c r="F3144" i="1"/>
  <c r="G3144" i="1"/>
  <c r="H3144" i="1"/>
  <c r="I3144" i="1"/>
  <c r="C3145" i="1"/>
  <c r="D3145" i="1"/>
  <c r="E3145" i="1"/>
  <c r="F3145" i="1"/>
  <c r="G3145" i="1"/>
  <c r="H3145" i="1"/>
  <c r="I3145" i="1"/>
  <c r="C3146" i="1"/>
  <c r="D3146" i="1"/>
  <c r="E3146" i="1"/>
  <c r="F3146" i="1"/>
  <c r="G3146" i="1"/>
  <c r="H3146" i="1"/>
  <c r="I3146" i="1"/>
  <c r="C3147" i="1"/>
  <c r="D3147" i="1"/>
  <c r="E3147" i="1"/>
  <c r="F3147" i="1"/>
  <c r="G3147" i="1"/>
  <c r="H3147" i="1"/>
  <c r="I3147" i="1"/>
  <c r="C3148" i="1"/>
  <c r="D3148" i="1"/>
  <c r="E3148" i="1"/>
  <c r="F3148" i="1"/>
  <c r="G3148" i="1"/>
  <c r="H3148" i="1"/>
  <c r="I3148" i="1"/>
  <c r="C3149" i="1"/>
  <c r="D3149" i="1"/>
  <c r="E3149" i="1"/>
  <c r="F3149" i="1"/>
  <c r="G3149" i="1"/>
  <c r="H3149" i="1"/>
  <c r="I3149" i="1"/>
  <c r="C3150" i="1"/>
  <c r="D3150" i="1"/>
  <c r="E3150" i="1"/>
  <c r="F3150" i="1"/>
  <c r="G3150" i="1"/>
  <c r="H3150" i="1"/>
  <c r="I3150" i="1"/>
  <c r="C3151" i="1"/>
  <c r="D3151" i="1"/>
  <c r="E3151" i="1"/>
  <c r="F3151" i="1"/>
  <c r="G3151" i="1"/>
  <c r="H3151" i="1"/>
  <c r="I3151" i="1"/>
  <c r="C3152" i="1"/>
  <c r="D3152" i="1"/>
  <c r="E3152" i="1"/>
  <c r="F3152" i="1"/>
  <c r="G3152" i="1"/>
  <c r="H3152" i="1"/>
  <c r="I3152" i="1"/>
  <c r="C3153" i="1"/>
  <c r="D3153" i="1"/>
  <c r="E3153" i="1"/>
  <c r="F3153" i="1"/>
  <c r="G3153" i="1"/>
  <c r="H3153" i="1"/>
  <c r="I3153" i="1"/>
  <c r="C3154" i="1"/>
  <c r="D3154" i="1"/>
  <c r="E3154" i="1"/>
  <c r="F3154" i="1"/>
  <c r="G3154" i="1"/>
  <c r="H3154" i="1"/>
  <c r="I3154" i="1"/>
  <c r="C3155" i="1"/>
  <c r="D3155" i="1"/>
  <c r="E3155" i="1"/>
  <c r="F3155" i="1"/>
  <c r="G3155" i="1"/>
  <c r="H3155" i="1"/>
  <c r="I3155" i="1"/>
  <c r="C3156" i="1"/>
  <c r="D3156" i="1"/>
  <c r="E3156" i="1"/>
  <c r="F3156" i="1"/>
  <c r="G3156" i="1"/>
  <c r="H3156" i="1"/>
  <c r="I3156" i="1"/>
  <c r="C3157" i="1"/>
  <c r="D3157" i="1"/>
  <c r="E3157" i="1"/>
  <c r="F3157" i="1"/>
  <c r="G3157" i="1"/>
  <c r="H3157" i="1"/>
  <c r="I3157" i="1"/>
  <c r="C917" i="1"/>
  <c r="D917" i="1"/>
  <c r="E917" i="1"/>
  <c r="F917" i="1"/>
  <c r="G917" i="1"/>
  <c r="H917" i="1"/>
  <c r="I917" i="1"/>
  <c r="C3158" i="1"/>
  <c r="D3158" i="1"/>
  <c r="E3158" i="1"/>
  <c r="F3158" i="1"/>
  <c r="G3158" i="1"/>
  <c r="H3158" i="1"/>
  <c r="I3158" i="1"/>
  <c r="C3159" i="1"/>
  <c r="D3159" i="1"/>
  <c r="E3159" i="1"/>
  <c r="F3159" i="1"/>
  <c r="G3159" i="1"/>
  <c r="H3159" i="1"/>
  <c r="I3159" i="1"/>
  <c r="C3160" i="1"/>
  <c r="D3160" i="1"/>
  <c r="E3160" i="1"/>
  <c r="F3160" i="1"/>
  <c r="G3160" i="1"/>
  <c r="H3160" i="1"/>
  <c r="I3160" i="1"/>
  <c r="C3161" i="1"/>
  <c r="D3161" i="1"/>
  <c r="E3161" i="1"/>
  <c r="F3161" i="1"/>
  <c r="G3161" i="1"/>
  <c r="H3161" i="1"/>
  <c r="I3161" i="1"/>
  <c r="C3162" i="1"/>
  <c r="D3162" i="1"/>
  <c r="E3162" i="1"/>
  <c r="F3162" i="1"/>
  <c r="G3162" i="1"/>
  <c r="H3162" i="1"/>
  <c r="I3162" i="1"/>
  <c r="C3163" i="1"/>
  <c r="D3163" i="1"/>
  <c r="E3163" i="1"/>
  <c r="F3163" i="1"/>
  <c r="G3163" i="1"/>
  <c r="H3163" i="1"/>
  <c r="I3163" i="1"/>
  <c r="C3164" i="1"/>
  <c r="D3164" i="1"/>
  <c r="E3164" i="1"/>
  <c r="F3164" i="1"/>
  <c r="G3164" i="1"/>
  <c r="H3164" i="1"/>
  <c r="I3164" i="1"/>
  <c r="C3165" i="1"/>
  <c r="D3165" i="1"/>
  <c r="E3165" i="1"/>
  <c r="F3165" i="1"/>
  <c r="G3165" i="1"/>
  <c r="H3165" i="1"/>
  <c r="I3165" i="1"/>
  <c r="C3166" i="1"/>
  <c r="D3166" i="1"/>
  <c r="E3166" i="1"/>
  <c r="F3166" i="1"/>
  <c r="G3166" i="1"/>
  <c r="H3166" i="1"/>
  <c r="I3166" i="1"/>
  <c r="C3167" i="1"/>
  <c r="D3167" i="1"/>
  <c r="E3167" i="1"/>
  <c r="F3167" i="1"/>
  <c r="G3167" i="1"/>
  <c r="H3167" i="1"/>
  <c r="I3167" i="1"/>
  <c r="C3168" i="1"/>
  <c r="D3168" i="1"/>
  <c r="E3168" i="1"/>
  <c r="F3168" i="1"/>
  <c r="G3168" i="1"/>
  <c r="H3168" i="1"/>
  <c r="I3168" i="1"/>
  <c r="C3169" i="1"/>
  <c r="D3169" i="1"/>
  <c r="E3169" i="1"/>
  <c r="F3169" i="1"/>
  <c r="G3169" i="1"/>
  <c r="H3169" i="1"/>
  <c r="I3169" i="1"/>
  <c r="C3170" i="1"/>
  <c r="D3170" i="1"/>
  <c r="E3170" i="1"/>
  <c r="F3170" i="1"/>
  <c r="G3170" i="1"/>
  <c r="H3170" i="1"/>
  <c r="I3170" i="1"/>
  <c r="C3171" i="1"/>
  <c r="D3171" i="1"/>
  <c r="E3171" i="1"/>
  <c r="F3171" i="1"/>
  <c r="G3171" i="1"/>
  <c r="H3171" i="1"/>
  <c r="I3171" i="1"/>
  <c r="C3172" i="1"/>
  <c r="D3172" i="1"/>
  <c r="E3172" i="1"/>
  <c r="F3172" i="1"/>
  <c r="G3172" i="1"/>
  <c r="H3172" i="1"/>
  <c r="I3172" i="1"/>
  <c r="C3173" i="1"/>
  <c r="D3173" i="1"/>
  <c r="E3173" i="1"/>
  <c r="F3173" i="1"/>
  <c r="G3173" i="1"/>
  <c r="H3173" i="1"/>
  <c r="I3173" i="1"/>
  <c r="C3203" i="1"/>
  <c r="D3203" i="1"/>
  <c r="E3203" i="1"/>
  <c r="F3203" i="1"/>
  <c r="G3203" i="1"/>
  <c r="H3203" i="1"/>
  <c r="I3203" i="1"/>
  <c r="C3204" i="1"/>
  <c r="D3204" i="1"/>
  <c r="E3204" i="1"/>
  <c r="F3204" i="1"/>
  <c r="G3204" i="1"/>
  <c r="H3204" i="1"/>
  <c r="I3204" i="1"/>
  <c r="C3205" i="1"/>
  <c r="D3205" i="1"/>
  <c r="E3205" i="1"/>
  <c r="F3205" i="1"/>
  <c r="G3205" i="1"/>
  <c r="H3205" i="1"/>
  <c r="I3205" i="1"/>
  <c r="C3206" i="1"/>
  <c r="D3206" i="1"/>
  <c r="E3206" i="1"/>
  <c r="F3206" i="1"/>
  <c r="G3206" i="1"/>
  <c r="H3206" i="1"/>
  <c r="I3206" i="1"/>
  <c r="C3207" i="1"/>
  <c r="D3207" i="1"/>
  <c r="E3207" i="1"/>
  <c r="F3207" i="1"/>
  <c r="G3207" i="1"/>
  <c r="H3207" i="1"/>
  <c r="I3207" i="1"/>
  <c r="C3208" i="1"/>
  <c r="D3208" i="1"/>
  <c r="E3208" i="1"/>
  <c r="F3208" i="1"/>
  <c r="G3208" i="1"/>
  <c r="H3208" i="1"/>
  <c r="I3208" i="1"/>
  <c r="C3209" i="1"/>
  <c r="D3209" i="1"/>
  <c r="E3209" i="1"/>
  <c r="F3209" i="1"/>
  <c r="G3209" i="1"/>
  <c r="H3209" i="1"/>
  <c r="I3209" i="1"/>
  <c r="C3210" i="1"/>
  <c r="D3210" i="1"/>
  <c r="E3210" i="1"/>
  <c r="F3210" i="1"/>
  <c r="G3210" i="1"/>
  <c r="H3210" i="1"/>
  <c r="I3210" i="1"/>
  <c r="C3211" i="1"/>
  <c r="D3211" i="1"/>
  <c r="E3211" i="1"/>
  <c r="F3211" i="1"/>
  <c r="G3211" i="1"/>
  <c r="H3211" i="1"/>
  <c r="I3211" i="1"/>
  <c r="C3212" i="1"/>
  <c r="D3212" i="1"/>
  <c r="E3212" i="1"/>
  <c r="F3212" i="1"/>
  <c r="G3212" i="1"/>
  <c r="H3212" i="1"/>
  <c r="I3212" i="1"/>
  <c r="C3213" i="1"/>
  <c r="D3213" i="1"/>
  <c r="E3213" i="1"/>
  <c r="F3213" i="1"/>
  <c r="G3213" i="1"/>
  <c r="H3213" i="1"/>
  <c r="I3213" i="1"/>
  <c r="C3214" i="1"/>
  <c r="D3214" i="1"/>
  <c r="E3214" i="1"/>
  <c r="F3214" i="1"/>
  <c r="G3214" i="1"/>
  <c r="H3214" i="1"/>
  <c r="I3214" i="1"/>
  <c r="C3215" i="1"/>
  <c r="D3215" i="1"/>
  <c r="E3215" i="1"/>
  <c r="F3215" i="1"/>
  <c r="G3215" i="1"/>
  <c r="H3215" i="1"/>
  <c r="I3215" i="1"/>
  <c r="C3216" i="1"/>
  <c r="D3216" i="1"/>
  <c r="E3216" i="1"/>
  <c r="F3216" i="1"/>
  <c r="G3216" i="1"/>
  <c r="H3216" i="1"/>
  <c r="I3216" i="1"/>
  <c r="C3217" i="1"/>
  <c r="D3217" i="1"/>
  <c r="E3217" i="1"/>
  <c r="F3217" i="1"/>
  <c r="G3217" i="1"/>
  <c r="H3217" i="1"/>
  <c r="I3217" i="1"/>
  <c r="C3218" i="1"/>
  <c r="D3218" i="1"/>
  <c r="E3218" i="1"/>
  <c r="F3218" i="1"/>
  <c r="G3218" i="1"/>
  <c r="H3218" i="1"/>
  <c r="I3218" i="1"/>
  <c r="C3219" i="1"/>
  <c r="D3219" i="1"/>
  <c r="E3219" i="1"/>
  <c r="F3219" i="1"/>
  <c r="G3219" i="1"/>
  <c r="H3219" i="1"/>
  <c r="I3219" i="1"/>
  <c r="C3220" i="1"/>
  <c r="D3220" i="1"/>
  <c r="E3220" i="1"/>
  <c r="F3220" i="1"/>
  <c r="G3220" i="1"/>
  <c r="H3220" i="1"/>
  <c r="I3220" i="1"/>
  <c r="C3221" i="1"/>
  <c r="D3221" i="1"/>
  <c r="E3221" i="1"/>
  <c r="F3221" i="1"/>
  <c r="G3221" i="1"/>
  <c r="H3221" i="1"/>
  <c r="I3221" i="1"/>
  <c r="C3222" i="1"/>
  <c r="D3222" i="1"/>
  <c r="E3222" i="1"/>
  <c r="F3222" i="1"/>
  <c r="G3222" i="1"/>
  <c r="H3222" i="1"/>
  <c r="I3222" i="1"/>
  <c r="C3223" i="1"/>
  <c r="D3223" i="1"/>
  <c r="E3223" i="1"/>
  <c r="F3223" i="1"/>
  <c r="G3223" i="1"/>
  <c r="H3223" i="1"/>
  <c r="I3223" i="1"/>
  <c r="C3224" i="1"/>
  <c r="D3224" i="1"/>
  <c r="E3224" i="1"/>
  <c r="F3224" i="1"/>
  <c r="G3224" i="1"/>
  <c r="H3224" i="1"/>
  <c r="I3224" i="1"/>
  <c r="C3225" i="1"/>
  <c r="D3225" i="1"/>
  <c r="E3225" i="1"/>
  <c r="F3225" i="1"/>
  <c r="G3225" i="1"/>
  <c r="H3225" i="1"/>
  <c r="I3225" i="1"/>
  <c r="C3226" i="1"/>
  <c r="D3226" i="1"/>
  <c r="E3226" i="1"/>
  <c r="F3226" i="1"/>
  <c r="G3226" i="1"/>
  <c r="H3226" i="1"/>
  <c r="I3226" i="1"/>
  <c r="C3227" i="1"/>
  <c r="D3227" i="1"/>
  <c r="E3227" i="1"/>
  <c r="F3227" i="1"/>
  <c r="G3227" i="1"/>
  <c r="H3227" i="1"/>
  <c r="I3227" i="1"/>
  <c r="C3228" i="1"/>
  <c r="D3228" i="1"/>
  <c r="E3228" i="1"/>
  <c r="F3228" i="1"/>
  <c r="G3228" i="1"/>
  <c r="H3228" i="1"/>
  <c r="I3228" i="1"/>
  <c r="C3229" i="1"/>
  <c r="D3229" i="1"/>
  <c r="E3229" i="1"/>
  <c r="F3229" i="1"/>
  <c r="G3229" i="1"/>
  <c r="H3229" i="1"/>
  <c r="I3229" i="1"/>
  <c r="C3230" i="1"/>
  <c r="D3230" i="1"/>
  <c r="E3230" i="1"/>
  <c r="F3230" i="1"/>
  <c r="G3230" i="1"/>
  <c r="H3230" i="1"/>
  <c r="I3230" i="1"/>
  <c r="C3231" i="1"/>
  <c r="D3231" i="1"/>
  <c r="E3231" i="1"/>
  <c r="F3231" i="1"/>
  <c r="G3231" i="1"/>
  <c r="H3231" i="1"/>
  <c r="I3231" i="1"/>
  <c r="C3232" i="1"/>
  <c r="D3232" i="1"/>
  <c r="E3232" i="1"/>
  <c r="F3232" i="1"/>
  <c r="G3232" i="1"/>
  <c r="H3232" i="1"/>
  <c r="I3232" i="1"/>
  <c r="C3233" i="1"/>
  <c r="D3233" i="1"/>
  <c r="E3233" i="1"/>
  <c r="F3233" i="1"/>
  <c r="G3233" i="1"/>
  <c r="H3233" i="1"/>
  <c r="I3233" i="1"/>
  <c r="C3234" i="1"/>
  <c r="D3234" i="1"/>
  <c r="E3234" i="1"/>
  <c r="F3234" i="1"/>
  <c r="G3234" i="1"/>
  <c r="H3234" i="1"/>
  <c r="I3234" i="1"/>
  <c r="C3235" i="1"/>
  <c r="D3235" i="1"/>
  <c r="E3235" i="1"/>
  <c r="F3235" i="1"/>
  <c r="G3235" i="1"/>
  <c r="H3235" i="1"/>
  <c r="I3235" i="1"/>
  <c r="C3236" i="1"/>
  <c r="D3236" i="1"/>
  <c r="E3236" i="1"/>
  <c r="F3236" i="1"/>
  <c r="G3236" i="1"/>
  <c r="H3236" i="1"/>
  <c r="I3236" i="1"/>
  <c r="C3237" i="1"/>
  <c r="D3237" i="1"/>
  <c r="E3237" i="1"/>
  <c r="F3237" i="1"/>
  <c r="G3237" i="1"/>
  <c r="H3237" i="1"/>
  <c r="I3237" i="1"/>
  <c r="C3238" i="1"/>
  <c r="D3238" i="1"/>
  <c r="E3238" i="1"/>
  <c r="F3238" i="1"/>
  <c r="G3238" i="1"/>
  <c r="H3238" i="1"/>
  <c r="I3238" i="1"/>
  <c r="C3239" i="1"/>
  <c r="D3239" i="1"/>
  <c r="E3239" i="1"/>
  <c r="F3239" i="1"/>
  <c r="G3239" i="1"/>
  <c r="H3239" i="1"/>
  <c r="I3239" i="1"/>
  <c r="C3240" i="1"/>
  <c r="D3240" i="1"/>
  <c r="E3240" i="1"/>
  <c r="F3240" i="1"/>
  <c r="G3240" i="1"/>
  <c r="H3240" i="1"/>
  <c r="I3240" i="1"/>
  <c r="C3241" i="1"/>
  <c r="D3241" i="1"/>
  <c r="E3241" i="1"/>
  <c r="F3241" i="1"/>
  <c r="G3241" i="1"/>
  <c r="H3241" i="1"/>
  <c r="I3241" i="1"/>
  <c r="C3242" i="1"/>
  <c r="D3242" i="1"/>
  <c r="E3242" i="1"/>
  <c r="F3242" i="1"/>
  <c r="G3242" i="1"/>
  <c r="H3242" i="1"/>
  <c r="I3242" i="1"/>
  <c r="C3243" i="1"/>
  <c r="D3243" i="1"/>
  <c r="E3243" i="1"/>
  <c r="F3243" i="1"/>
  <c r="G3243" i="1"/>
  <c r="H3243" i="1"/>
  <c r="I3243" i="1"/>
  <c r="C3270" i="1"/>
  <c r="D3270" i="1"/>
  <c r="E3270" i="1"/>
  <c r="F3270" i="1"/>
  <c r="G3270" i="1"/>
  <c r="H3270" i="1"/>
  <c r="I3270" i="1"/>
  <c r="C3279" i="1"/>
  <c r="D3279" i="1"/>
  <c r="E3279" i="1"/>
  <c r="F3279" i="1"/>
  <c r="G3279" i="1"/>
  <c r="H3279" i="1"/>
  <c r="I3279" i="1"/>
  <c r="C3280" i="1"/>
  <c r="D3280" i="1"/>
  <c r="E3280" i="1"/>
  <c r="F3280" i="1"/>
  <c r="G3280" i="1"/>
  <c r="H3280" i="1"/>
  <c r="I3280" i="1"/>
  <c r="C3281" i="1"/>
  <c r="D3281" i="1"/>
  <c r="E3281" i="1"/>
  <c r="F3281" i="1"/>
  <c r="G3281" i="1"/>
  <c r="H3281" i="1"/>
  <c r="I3281" i="1"/>
  <c r="C3282" i="1"/>
  <c r="D3282" i="1"/>
  <c r="E3282" i="1"/>
  <c r="F3282" i="1"/>
  <c r="G3282" i="1"/>
  <c r="H3282" i="1"/>
  <c r="I3282" i="1"/>
  <c r="C3283" i="1"/>
  <c r="D3283" i="1"/>
  <c r="E3283" i="1"/>
  <c r="F3283" i="1"/>
  <c r="G3283" i="1"/>
  <c r="H3283" i="1"/>
  <c r="I3283" i="1"/>
  <c r="C3284" i="1"/>
  <c r="D3284" i="1"/>
  <c r="E3284" i="1"/>
  <c r="F3284" i="1"/>
  <c r="G3284" i="1"/>
  <c r="H3284" i="1"/>
  <c r="I3284" i="1"/>
  <c r="C3285" i="1"/>
  <c r="D3285" i="1"/>
  <c r="E3285" i="1"/>
  <c r="F3285" i="1"/>
  <c r="G3285" i="1"/>
  <c r="H3285" i="1"/>
  <c r="I3285" i="1"/>
  <c r="C4137" i="1"/>
  <c r="D4137" i="1"/>
  <c r="E4137" i="1"/>
  <c r="F4137" i="1"/>
  <c r="G4137" i="1"/>
  <c r="H4137" i="1"/>
  <c r="I4137" i="1"/>
  <c r="C3286" i="1"/>
  <c r="D3286" i="1"/>
  <c r="E3286" i="1"/>
  <c r="F3286" i="1"/>
  <c r="G3286" i="1"/>
  <c r="H3286" i="1"/>
  <c r="I3286" i="1"/>
  <c r="C3287" i="1"/>
  <c r="D3287" i="1"/>
  <c r="E3287" i="1"/>
  <c r="F3287" i="1"/>
  <c r="G3287" i="1"/>
  <c r="H3287" i="1"/>
  <c r="I3287" i="1"/>
  <c r="C3288" i="1"/>
  <c r="D3288" i="1"/>
  <c r="E3288" i="1"/>
  <c r="F3288" i="1"/>
  <c r="G3288" i="1"/>
  <c r="H3288" i="1"/>
  <c r="I3288" i="1"/>
  <c r="C3289" i="1"/>
  <c r="D3289" i="1"/>
  <c r="E3289" i="1"/>
  <c r="F3289" i="1"/>
  <c r="G3289" i="1"/>
  <c r="H3289" i="1"/>
  <c r="I3289" i="1"/>
  <c r="C3290" i="1"/>
  <c r="D3290" i="1"/>
  <c r="E3290" i="1"/>
  <c r="F3290" i="1"/>
  <c r="G3290" i="1"/>
  <c r="H3290" i="1"/>
  <c r="I3290" i="1"/>
  <c r="C3291" i="1"/>
  <c r="D3291" i="1"/>
  <c r="E3291" i="1"/>
  <c r="F3291" i="1"/>
  <c r="G3291" i="1"/>
  <c r="H3291" i="1"/>
  <c r="I3291" i="1"/>
  <c r="C3292" i="1"/>
  <c r="D3292" i="1"/>
  <c r="E3292" i="1"/>
  <c r="F3292" i="1"/>
  <c r="G3292" i="1"/>
  <c r="H3292" i="1"/>
  <c r="I3292" i="1"/>
  <c r="C3293" i="1"/>
  <c r="D3293" i="1"/>
  <c r="E3293" i="1"/>
  <c r="F3293" i="1"/>
  <c r="G3293" i="1"/>
  <c r="H3293" i="1"/>
  <c r="I3293" i="1"/>
  <c r="C3294" i="1"/>
  <c r="D3294" i="1"/>
  <c r="E3294" i="1"/>
  <c r="F3294" i="1"/>
  <c r="G3294" i="1"/>
  <c r="H3294" i="1"/>
  <c r="I3294" i="1"/>
  <c r="C3295" i="1"/>
  <c r="D3295" i="1"/>
  <c r="E3295" i="1"/>
  <c r="F3295" i="1"/>
  <c r="G3295" i="1"/>
  <c r="H3295" i="1"/>
  <c r="I3295" i="1"/>
  <c r="C3296" i="1"/>
  <c r="D3296" i="1"/>
  <c r="E3296" i="1"/>
  <c r="F3296" i="1"/>
  <c r="G3296" i="1"/>
  <c r="H3296" i="1"/>
  <c r="I3296" i="1"/>
  <c r="C3297" i="1"/>
  <c r="D3297" i="1"/>
  <c r="E3297" i="1"/>
  <c r="F3297" i="1"/>
  <c r="G3297" i="1"/>
  <c r="H3297" i="1"/>
  <c r="I3297" i="1"/>
  <c r="C3298" i="1"/>
  <c r="D3298" i="1"/>
  <c r="E3298" i="1"/>
  <c r="F3298" i="1"/>
  <c r="G3298" i="1"/>
  <c r="H3298" i="1"/>
  <c r="I3298" i="1"/>
  <c r="C3299" i="1"/>
  <c r="D3299" i="1"/>
  <c r="E3299" i="1"/>
  <c r="F3299" i="1"/>
  <c r="G3299" i="1"/>
  <c r="H3299" i="1"/>
  <c r="I3299" i="1"/>
  <c r="C3300" i="1"/>
  <c r="D3300" i="1"/>
  <c r="E3300" i="1"/>
  <c r="F3300" i="1"/>
  <c r="G3300" i="1"/>
  <c r="H3300" i="1"/>
  <c r="I3300" i="1"/>
  <c r="C3301" i="1"/>
  <c r="D3301" i="1"/>
  <c r="E3301" i="1"/>
  <c r="F3301" i="1"/>
  <c r="G3301" i="1"/>
  <c r="H3301" i="1"/>
  <c r="I3301" i="1"/>
  <c r="C3302" i="1"/>
  <c r="D3302" i="1"/>
  <c r="E3302" i="1"/>
  <c r="F3302" i="1"/>
  <c r="G3302" i="1"/>
  <c r="H3302" i="1"/>
  <c r="I3302" i="1"/>
  <c r="C4112" i="1"/>
  <c r="D4112" i="1"/>
  <c r="E4112" i="1"/>
  <c r="F4112" i="1"/>
  <c r="G4112" i="1"/>
  <c r="H4112" i="1"/>
  <c r="I4112" i="1"/>
  <c r="C3303" i="1"/>
  <c r="D3303" i="1"/>
  <c r="E3303" i="1"/>
  <c r="F3303" i="1"/>
  <c r="G3303" i="1"/>
  <c r="H3303" i="1"/>
  <c r="I3303" i="1"/>
  <c r="C3304" i="1"/>
  <c r="D3304" i="1"/>
  <c r="E3304" i="1"/>
  <c r="F3304" i="1"/>
  <c r="G3304" i="1"/>
  <c r="H3304" i="1"/>
  <c r="I3304" i="1"/>
  <c r="C3305" i="1"/>
  <c r="D3305" i="1"/>
  <c r="E3305" i="1"/>
  <c r="F3305" i="1"/>
  <c r="G3305" i="1"/>
  <c r="H3305" i="1"/>
  <c r="I3305" i="1"/>
  <c r="C3306" i="1"/>
  <c r="D3306" i="1"/>
  <c r="E3306" i="1"/>
  <c r="F3306" i="1"/>
  <c r="G3306" i="1"/>
  <c r="H3306" i="1"/>
  <c r="I3306" i="1"/>
  <c r="C3307" i="1"/>
  <c r="D3307" i="1"/>
  <c r="E3307" i="1"/>
  <c r="F3307" i="1"/>
  <c r="G3307" i="1"/>
  <c r="H3307" i="1"/>
  <c r="I3307" i="1"/>
  <c r="C3308" i="1"/>
  <c r="D3308" i="1"/>
  <c r="E3308" i="1"/>
  <c r="F3308" i="1"/>
  <c r="G3308" i="1"/>
  <c r="H3308" i="1"/>
  <c r="I3308" i="1"/>
  <c r="C3309" i="1"/>
  <c r="D3309" i="1"/>
  <c r="E3309" i="1"/>
  <c r="F3309" i="1"/>
  <c r="G3309" i="1"/>
  <c r="H3309" i="1"/>
  <c r="I3309" i="1"/>
  <c r="C3310" i="1"/>
  <c r="D3310" i="1"/>
  <c r="E3310" i="1"/>
  <c r="F3310" i="1"/>
  <c r="G3310" i="1"/>
  <c r="H3310" i="1"/>
  <c r="I3310" i="1"/>
  <c r="C3354" i="1"/>
  <c r="D3354" i="1"/>
  <c r="E3354" i="1"/>
  <c r="F3354" i="1"/>
  <c r="G3354" i="1"/>
  <c r="H3354" i="1"/>
  <c r="I3354" i="1"/>
  <c r="C3357" i="1"/>
  <c r="D3357" i="1"/>
  <c r="E3357" i="1"/>
  <c r="F3357" i="1"/>
  <c r="G3357" i="1"/>
  <c r="H3357" i="1"/>
  <c r="I3357" i="1"/>
  <c r="C3358" i="1"/>
  <c r="D3358" i="1"/>
  <c r="E3358" i="1"/>
  <c r="F3358" i="1"/>
  <c r="G3358" i="1"/>
  <c r="H3358" i="1"/>
  <c r="I3358" i="1"/>
  <c r="C3311" i="1"/>
  <c r="D3311" i="1"/>
  <c r="E3311" i="1"/>
  <c r="F3311" i="1"/>
  <c r="G3311" i="1"/>
  <c r="H3311" i="1"/>
  <c r="I3311" i="1"/>
  <c r="C3312" i="1"/>
  <c r="D3312" i="1"/>
  <c r="E3312" i="1"/>
  <c r="F3312" i="1"/>
  <c r="G3312" i="1"/>
  <c r="H3312" i="1"/>
  <c r="I3312" i="1"/>
  <c r="C3313" i="1"/>
  <c r="D3313" i="1"/>
  <c r="E3313" i="1"/>
  <c r="F3313" i="1"/>
  <c r="G3313" i="1"/>
  <c r="H3313" i="1"/>
  <c r="I3313" i="1"/>
  <c r="C3314" i="1"/>
  <c r="D3314" i="1"/>
  <c r="E3314" i="1"/>
  <c r="F3314" i="1"/>
  <c r="G3314" i="1"/>
  <c r="H3314" i="1"/>
  <c r="I3314" i="1"/>
  <c r="C3315" i="1"/>
  <c r="D3315" i="1"/>
  <c r="E3315" i="1"/>
  <c r="F3315" i="1"/>
  <c r="G3315" i="1"/>
  <c r="H3315" i="1"/>
  <c r="I3315" i="1"/>
  <c r="C3316" i="1"/>
  <c r="D3316" i="1"/>
  <c r="E3316" i="1"/>
  <c r="F3316" i="1"/>
  <c r="G3316" i="1"/>
  <c r="H3316" i="1"/>
  <c r="I3316" i="1"/>
  <c r="C3317" i="1"/>
  <c r="D3317" i="1"/>
  <c r="E3317" i="1"/>
  <c r="F3317" i="1"/>
  <c r="G3317" i="1"/>
  <c r="H3317" i="1"/>
  <c r="I3317" i="1"/>
  <c r="C3318" i="1"/>
  <c r="D3318" i="1"/>
  <c r="E3318" i="1"/>
  <c r="F3318" i="1"/>
  <c r="G3318" i="1"/>
  <c r="H3318" i="1"/>
  <c r="I3318" i="1"/>
  <c r="C3319" i="1"/>
  <c r="D3319" i="1"/>
  <c r="E3319" i="1"/>
  <c r="F3319" i="1"/>
  <c r="G3319" i="1"/>
  <c r="H3319" i="1"/>
  <c r="I3319" i="1"/>
  <c r="C3320" i="1"/>
  <c r="D3320" i="1"/>
  <c r="E3320" i="1"/>
  <c r="F3320" i="1"/>
  <c r="G3320" i="1"/>
  <c r="H3320" i="1"/>
  <c r="I3320" i="1"/>
  <c r="C3359" i="1"/>
  <c r="D3359" i="1"/>
  <c r="E3359" i="1"/>
  <c r="F3359" i="1"/>
  <c r="G3359" i="1"/>
  <c r="H3359" i="1"/>
  <c r="I3359" i="1"/>
  <c r="C3360" i="1"/>
  <c r="D3360" i="1"/>
  <c r="E3360" i="1"/>
  <c r="F3360" i="1"/>
  <c r="G3360" i="1"/>
  <c r="H3360" i="1"/>
  <c r="I3360" i="1"/>
  <c r="C3361" i="1"/>
  <c r="D3361" i="1"/>
  <c r="E3361" i="1"/>
  <c r="F3361" i="1"/>
  <c r="G3361" i="1"/>
  <c r="H3361" i="1"/>
  <c r="I3361" i="1"/>
  <c r="C3362" i="1"/>
  <c r="D3362" i="1"/>
  <c r="E3362" i="1"/>
  <c r="F3362" i="1"/>
  <c r="G3362" i="1"/>
  <c r="H3362" i="1"/>
  <c r="I3362" i="1"/>
  <c r="C3363" i="1"/>
  <c r="D3363" i="1"/>
  <c r="E3363" i="1"/>
  <c r="F3363" i="1"/>
  <c r="G3363" i="1"/>
  <c r="H3363" i="1"/>
  <c r="I3363" i="1"/>
  <c r="C3364" i="1"/>
  <c r="D3364" i="1"/>
  <c r="E3364" i="1"/>
  <c r="F3364" i="1"/>
  <c r="G3364" i="1"/>
  <c r="H3364" i="1"/>
  <c r="I3364" i="1"/>
  <c r="C3365" i="1"/>
  <c r="D3365" i="1"/>
  <c r="E3365" i="1"/>
  <c r="F3365" i="1"/>
  <c r="G3365" i="1"/>
  <c r="H3365" i="1"/>
  <c r="I3365" i="1"/>
  <c r="C3366" i="1"/>
  <c r="D3366" i="1"/>
  <c r="E3366" i="1"/>
  <c r="F3366" i="1"/>
  <c r="G3366" i="1"/>
  <c r="H3366" i="1"/>
  <c r="I3366" i="1"/>
  <c r="C3367" i="1"/>
  <c r="D3367" i="1"/>
  <c r="E3367" i="1"/>
  <c r="F3367" i="1"/>
  <c r="G3367" i="1"/>
  <c r="H3367" i="1"/>
  <c r="I3367" i="1"/>
  <c r="C3409" i="1"/>
  <c r="D3409" i="1"/>
  <c r="E3409" i="1"/>
  <c r="F3409" i="1"/>
  <c r="G3409" i="1"/>
  <c r="H3409" i="1"/>
  <c r="I3409" i="1"/>
  <c r="C3368" i="1"/>
  <c r="D3368" i="1"/>
  <c r="E3368" i="1"/>
  <c r="F3368" i="1"/>
  <c r="G3368" i="1"/>
  <c r="H3368" i="1"/>
  <c r="I3368" i="1"/>
  <c r="C3369" i="1"/>
  <c r="D3369" i="1"/>
  <c r="E3369" i="1"/>
  <c r="F3369" i="1"/>
  <c r="G3369" i="1"/>
  <c r="H3369" i="1"/>
  <c r="I3369" i="1"/>
  <c r="C3370" i="1"/>
  <c r="D3370" i="1"/>
  <c r="E3370" i="1"/>
  <c r="F3370" i="1"/>
  <c r="G3370" i="1"/>
  <c r="H3370" i="1"/>
  <c r="I3370" i="1"/>
  <c r="C3371" i="1"/>
  <c r="D3371" i="1"/>
  <c r="E3371" i="1"/>
  <c r="F3371" i="1"/>
  <c r="G3371" i="1"/>
  <c r="H3371" i="1"/>
  <c r="I3371" i="1"/>
  <c r="C3372" i="1"/>
  <c r="D3372" i="1"/>
  <c r="E3372" i="1"/>
  <c r="F3372" i="1"/>
  <c r="G3372" i="1"/>
  <c r="H3372" i="1"/>
  <c r="I3372" i="1"/>
  <c r="C3373" i="1"/>
  <c r="D3373" i="1"/>
  <c r="E3373" i="1"/>
  <c r="F3373" i="1"/>
  <c r="G3373" i="1"/>
  <c r="H3373" i="1"/>
  <c r="I3373" i="1"/>
  <c r="C3374" i="1"/>
  <c r="D3374" i="1"/>
  <c r="E3374" i="1"/>
  <c r="F3374" i="1"/>
  <c r="G3374" i="1"/>
  <c r="H3374" i="1"/>
  <c r="I3374" i="1"/>
  <c r="C3375" i="1"/>
  <c r="D3375" i="1"/>
  <c r="E3375" i="1"/>
  <c r="F3375" i="1"/>
  <c r="G3375" i="1"/>
  <c r="H3375" i="1"/>
  <c r="I3375" i="1"/>
  <c r="C3376" i="1"/>
  <c r="D3376" i="1"/>
  <c r="E3376" i="1"/>
  <c r="F3376" i="1"/>
  <c r="G3376" i="1"/>
  <c r="H3376" i="1"/>
  <c r="I3376" i="1"/>
  <c r="C3377" i="1"/>
  <c r="D3377" i="1"/>
  <c r="E3377" i="1"/>
  <c r="F3377" i="1"/>
  <c r="G3377" i="1"/>
  <c r="H3377" i="1"/>
  <c r="I3377" i="1"/>
  <c r="C3378" i="1"/>
  <c r="D3378" i="1"/>
  <c r="E3378" i="1"/>
  <c r="F3378" i="1"/>
  <c r="G3378" i="1"/>
  <c r="H3378" i="1"/>
  <c r="I3378" i="1"/>
  <c r="C3379" i="1"/>
  <c r="D3379" i="1"/>
  <c r="E3379" i="1"/>
  <c r="F3379" i="1"/>
  <c r="G3379" i="1"/>
  <c r="H3379" i="1"/>
  <c r="I3379" i="1"/>
  <c r="C3380" i="1"/>
  <c r="D3380" i="1"/>
  <c r="E3380" i="1"/>
  <c r="F3380" i="1"/>
  <c r="G3380" i="1"/>
  <c r="H3380" i="1"/>
  <c r="I3380" i="1"/>
  <c r="C3381" i="1"/>
  <c r="D3381" i="1"/>
  <c r="E3381" i="1"/>
  <c r="F3381" i="1"/>
  <c r="G3381" i="1"/>
  <c r="H3381" i="1"/>
  <c r="I3381" i="1"/>
  <c r="C3382" i="1"/>
  <c r="D3382" i="1"/>
  <c r="E3382" i="1"/>
  <c r="F3382" i="1"/>
  <c r="G3382" i="1"/>
  <c r="H3382" i="1"/>
  <c r="I3382" i="1"/>
  <c r="C3383" i="1"/>
  <c r="D3383" i="1"/>
  <c r="E3383" i="1"/>
  <c r="F3383" i="1"/>
  <c r="G3383" i="1"/>
  <c r="H3383" i="1"/>
  <c r="I3383" i="1"/>
  <c r="C3411" i="1"/>
  <c r="D3411" i="1"/>
  <c r="E3411" i="1"/>
  <c r="F3411" i="1"/>
  <c r="G3411" i="1"/>
  <c r="H3411" i="1"/>
  <c r="I3411" i="1"/>
  <c r="C3412" i="1"/>
  <c r="D3412" i="1"/>
  <c r="E3412" i="1"/>
  <c r="F3412" i="1"/>
  <c r="G3412" i="1"/>
  <c r="H3412" i="1"/>
  <c r="I3412" i="1"/>
  <c r="C3413" i="1"/>
  <c r="D3413" i="1"/>
  <c r="E3413" i="1"/>
  <c r="F3413" i="1"/>
  <c r="G3413" i="1"/>
  <c r="H3413" i="1"/>
  <c r="I3413" i="1"/>
  <c r="C3414" i="1"/>
  <c r="D3414" i="1"/>
  <c r="E3414" i="1"/>
  <c r="F3414" i="1"/>
  <c r="G3414" i="1"/>
  <c r="H3414" i="1"/>
  <c r="I3414" i="1"/>
  <c r="C3415" i="1"/>
  <c r="D3415" i="1"/>
  <c r="E3415" i="1"/>
  <c r="F3415" i="1"/>
  <c r="G3415" i="1"/>
  <c r="H3415" i="1"/>
  <c r="I3415" i="1"/>
  <c r="C3416" i="1"/>
  <c r="D3416" i="1"/>
  <c r="E3416" i="1"/>
  <c r="F3416" i="1"/>
  <c r="G3416" i="1"/>
  <c r="H3416" i="1"/>
  <c r="I3416" i="1"/>
  <c r="C3417" i="1"/>
  <c r="D3417" i="1"/>
  <c r="E3417" i="1"/>
  <c r="F3417" i="1"/>
  <c r="G3417" i="1"/>
  <c r="H3417" i="1"/>
  <c r="I3417" i="1"/>
  <c r="C3418" i="1"/>
  <c r="D3418" i="1"/>
  <c r="E3418" i="1"/>
  <c r="F3418" i="1"/>
  <c r="G3418" i="1"/>
  <c r="H3418" i="1"/>
  <c r="I3418" i="1"/>
  <c r="C3419" i="1"/>
  <c r="D3419" i="1"/>
  <c r="E3419" i="1"/>
  <c r="F3419" i="1"/>
  <c r="G3419" i="1"/>
  <c r="H3419" i="1"/>
  <c r="I3419" i="1"/>
  <c r="C3420" i="1"/>
  <c r="D3420" i="1"/>
  <c r="E3420" i="1"/>
  <c r="F3420" i="1"/>
  <c r="G3420" i="1"/>
  <c r="H3420" i="1"/>
  <c r="I3420" i="1"/>
  <c r="C3421" i="1"/>
  <c r="D3421" i="1"/>
  <c r="E3421" i="1"/>
  <c r="F3421" i="1"/>
  <c r="G3421" i="1"/>
  <c r="H3421" i="1"/>
  <c r="I3421" i="1"/>
  <c r="C3422" i="1"/>
  <c r="D3422" i="1"/>
  <c r="E3422" i="1"/>
  <c r="F3422" i="1"/>
  <c r="G3422" i="1"/>
  <c r="H3422" i="1"/>
  <c r="I3422" i="1"/>
  <c r="C3423" i="1"/>
  <c r="D3423" i="1"/>
  <c r="E3423" i="1"/>
  <c r="F3423" i="1"/>
  <c r="G3423" i="1"/>
  <c r="H3423" i="1"/>
  <c r="I3423" i="1"/>
  <c r="C4004" i="1"/>
  <c r="D4004" i="1"/>
  <c r="E4004" i="1"/>
  <c r="F4004" i="1"/>
  <c r="G4004" i="1"/>
  <c r="H4004" i="1"/>
  <c r="I4004" i="1"/>
  <c r="C3424" i="1"/>
  <c r="D3424" i="1"/>
  <c r="E3424" i="1"/>
  <c r="F3424" i="1"/>
  <c r="G3424" i="1"/>
  <c r="H3424" i="1"/>
  <c r="I3424" i="1"/>
  <c r="C3425" i="1"/>
  <c r="D3425" i="1"/>
  <c r="E3425" i="1"/>
  <c r="F3425" i="1"/>
  <c r="G3425" i="1"/>
  <c r="H3425" i="1"/>
  <c r="I3425" i="1"/>
  <c r="C3426" i="1"/>
  <c r="D3426" i="1"/>
  <c r="E3426" i="1"/>
  <c r="F3426" i="1"/>
  <c r="G3426" i="1"/>
  <c r="H3426" i="1"/>
  <c r="I3426" i="1"/>
  <c r="C3427" i="1"/>
  <c r="D3427" i="1"/>
  <c r="E3427" i="1"/>
  <c r="F3427" i="1"/>
  <c r="G3427" i="1"/>
  <c r="H3427" i="1"/>
  <c r="I3427" i="1"/>
  <c r="C3428" i="1"/>
  <c r="D3428" i="1"/>
  <c r="E3428" i="1"/>
  <c r="F3428" i="1"/>
  <c r="G3428" i="1"/>
  <c r="H3428" i="1"/>
  <c r="I3428" i="1"/>
  <c r="C3429" i="1"/>
  <c r="D3429" i="1"/>
  <c r="E3429" i="1"/>
  <c r="F3429" i="1"/>
  <c r="G3429" i="1"/>
  <c r="H3429" i="1"/>
  <c r="I3429" i="1"/>
  <c r="C3430" i="1"/>
  <c r="D3430" i="1"/>
  <c r="E3430" i="1"/>
  <c r="F3430" i="1"/>
  <c r="G3430" i="1"/>
  <c r="H3430" i="1"/>
  <c r="I3430" i="1"/>
  <c r="C3431" i="1"/>
  <c r="D3431" i="1"/>
  <c r="E3431" i="1"/>
  <c r="F3431" i="1"/>
  <c r="G3431" i="1"/>
  <c r="H3431" i="1"/>
  <c r="I3431" i="1"/>
  <c r="C3432" i="1"/>
  <c r="D3432" i="1"/>
  <c r="E3432" i="1"/>
  <c r="F3432" i="1"/>
  <c r="G3432" i="1"/>
  <c r="H3432" i="1"/>
  <c r="I3432" i="1"/>
  <c r="C3433" i="1"/>
  <c r="D3433" i="1"/>
  <c r="E3433" i="1"/>
  <c r="F3433" i="1"/>
  <c r="G3433" i="1"/>
  <c r="H3433" i="1"/>
  <c r="I3433" i="1"/>
  <c r="C3434" i="1"/>
  <c r="D3434" i="1"/>
  <c r="E3434" i="1"/>
  <c r="F3434" i="1"/>
  <c r="G3434" i="1"/>
  <c r="H3434" i="1"/>
  <c r="I3434" i="1"/>
  <c r="C3435" i="1"/>
  <c r="D3435" i="1"/>
  <c r="E3435" i="1"/>
  <c r="F3435" i="1"/>
  <c r="G3435" i="1"/>
  <c r="H3435" i="1"/>
  <c r="I3435" i="1"/>
  <c r="C3436" i="1"/>
  <c r="D3436" i="1"/>
  <c r="E3436" i="1"/>
  <c r="F3436" i="1"/>
  <c r="G3436" i="1"/>
  <c r="H3436" i="1"/>
  <c r="I3436" i="1"/>
  <c r="C3437" i="1"/>
  <c r="D3437" i="1"/>
  <c r="E3437" i="1"/>
  <c r="F3437" i="1"/>
  <c r="G3437" i="1"/>
  <c r="H3437" i="1"/>
  <c r="I3437" i="1"/>
  <c r="C3438" i="1"/>
  <c r="D3438" i="1"/>
  <c r="E3438" i="1"/>
  <c r="F3438" i="1"/>
  <c r="G3438" i="1"/>
  <c r="H3438" i="1"/>
  <c r="I3438" i="1"/>
  <c r="C3439" i="1"/>
  <c r="D3439" i="1"/>
  <c r="E3439" i="1"/>
  <c r="F3439" i="1"/>
  <c r="G3439" i="1"/>
  <c r="H3439" i="1"/>
  <c r="I3439" i="1"/>
  <c r="C3440" i="1"/>
  <c r="D3440" i="1"/>
  <c r="E3440" i="1"/>
  <c r="F3440" i="1"/>
  <c r="G3440" i="1"/>
  <c r="H3440" i="1"/>
  <c r="I3440" i="1"/>
  <c r="C3441" i="1"/>
  <c r="D3441" i="1"/>
  <c r="E3441" i="1"/>
  <c r="F3441" i="1"/>
  <c r="G3441" i="1"/>
  <c r="H3441" i="1"/>
  <c r="I3441" i="1"/>
  <c r="C3442" i="1"/>
  <c r="D3442" i="1"/>
  <c r="E3442" i="1"/>
  <c r="F3442" i="1"/>
  <c r="G3442" i="1"/>
  <c r="H3442" i="1"/>
  <c r="I3442" i="1"/>
  <c r="C3443" i="1"/>
  <c r="D3443" i="1"/>
  <c r="E3443" i="1"/>
  <c r="F3443" i="1"/>
  <c r="G3443" i="1"/>
  <c r="H3443" i="1"/>
  <c r="I3443" i="1"/>
  <c r="C3444" i="1"/>
  <c r="D3444" i="1"/>
  <c r="E3444" i="1"/>
  <c r="F3444" i="1"/>
  <c r="G3444" i="1"/>
  <c r="H3444" i="1"/>
  <c r="I3444" i="1"/>
  <c r="C3445" i="1"/>
  <c r="D3445" i="1"/>
  <c r="E3445" i="1"/>
  <c r="F3445" i="1"/>
  <c r="G3445" i="1"/>
  <c r="H3445" i="1"/>
  <c r="I3445" i="1"/>
  <c r="C3446" i="1"/>
  <c r="D3446" i="1"/>
  <c r="E3446" i="1"/>
  <c r="F3446" i="1"/>
  <c r="G3446" i="1"/>
  <c r="H3446" i="1"/>
  <c r="I3446" i="1"/>
  <c r="C3447" i="1"/>
  <c r="D3447" i="1"/>
  <c r="E3447" i="1"/>
  <c r="F3447" i="1"/>
  <c r="G3447" i="1"/>
  <c r="H3447" i="1"/>
  <c r="I3447" i="1"/>
  <c r="C3448" i="1"/>
  <c r="D3448" i="1"/>
  <c r="E3448" i="1"/>
  <c r="F3448" i="1"/>
  <c r="G3448" i="1"/>
  <c r="H3448" i="1"/>
  <c r="I3448" i="1"/>
  <c r="C3449" i="1"/>
  <c r="D3449" i="1"/>
  <c r="E3449" i="1"/>
  <c r="F3449" i="1"/>
  <c r="G3449" i="1"/>
  <c r="H3449" i="1"/>
  <c r="I3449" i="1"/>
  <c r="C3450" i="1"/>
  <c r="D3450" i="1"/>
  <c r="E3450" i="1"/>
  <c r="F3450" i="1"/>
  <c r="G3450" i="1"/>
  <c r="H3450" i="1"/>
  <c r="I3450" i="1"/>
  <c r="C3451" i="1"/>
  <c r="D3451" i="1"/>
  <c r="E3451" i="1"/>
  <c r="F3451" i="1"/>
  <c r="G3451" i="1"/>
  <c r="H3451" i="1"/>
  <c r="I3451" i="1"/>
  <c r="C3452" i="1"/>
  <c r="D3452" i="1"/>
  <c r="E3452" i="1"/>
  <c r="F3452" i="1"/>
  <c r="G3452" i="1"/>
  <c r="H3452" i="1"/>
  <c r="I3452" i="1"/>
  <c r="C3483" i="1"/>
  <c r="D3483" i="1"/>
  <c r="E3483" i="1"/>
  <c r="F3483" i="1"/>
  <c r="G3483" i="1"/>
  <c r="H3483" i="1"/>
  <c r="I3483" i="1"/>
  <c r="C3484" i="1"/>
  <c r="D3484" i="1"/>
  <c r="E3484" i="1"/>
  <c r="F3484" i="1"/>
  <c r="G3484" i="1"/>
  <c r="H3484" i="1"/>
  <c r="I3484" i="1"/>
  <c r="C3485" i="1"/>
  <c r="D3485" i="1"/>
  <c r="E3485" i="1"/>
  <c r="F3485" i="1"/>
  <c r="G3485" i="1"/>
  <c r="H3485" i="1"/>
  <c r="I3485" i="1"/>
  <c r="C3486" i="1"/>
  <c r="D3486" i="1"/>
  <c r="E3486" i="1"/>
  <c r="F3486" i="1"/>
  <c r="G3486" i="1"/>
  <c r="H3486" i="1"/>
  <c r="I3486" i="1"/>
  <c r="C3487" i="1"/>
  <c r="D3487" i="1"/>
  <c r="E3487" i="1"/>
  <c r="F3487" i="1"/>
  <c r="G3487" i="1"/>
  <c r="H3487" i="1"/>
  <c r="I3487" i="1"/>
  <c r="C3488" i="1"/>
  <c r="D3488" i="1"/>
  <c r="E3488" i="1"/>
  <c r="F3488" i="1"/>
  <c r="G3488" i="1"/>
  <c r="H3488" i="1"/>
  <c r="I3488" i="1"/>
  <c r="C3489" i="1"/>
  <c r="D3489" i="1"/>
  <c r="E3489" i="1"/>
  <c r="F3489" i="1"/>
  <c r="G3489" i="1"/>
  <c r="H3489" i="1"/>
  <c r="I3489" i="1"/>
  <c r="C3490" i="1"/>
  <c r="D3490" i="1"/>
  <c r="E3490" i="1"/>
  <c r="F3490" i="1"/>
  <c r="G3490" i="1"/>
  <c r="H3490" i="1"/>
  <c r="I3490" i="1"/>
  <c r="C3491" i="1"/>
  <c r="D3491" i="1"/>
  <c r="E3491" i="1"/>
  <c r="F3491" i="1"/>
  <c r="G3491" i="1"/>
  <c r="H3491" i="1"/>
  <c r="I3491" i="1"/>
  <c r="C3492" i="1"/>
  <c r="D3492" i="1"/>
  <c r="E3492" i="1"/>
  <c r="F3492" i="1"/>
  <c r="G3492" i="1"/>
  <c r="H3492" i="1"/>
  <c r="I3492" i="1"/>
  <c r="C3493" i="1"/>
  <c r="D3493" i="1"/>
  <c r="E3493" i="1"/>
  <c r="F3493" i="1"/>
  <c r="G3493" i="1"/>
  <c r="H3493" i="1"/>
  <c r="I3493" i="1"/>
  <c r="C3494" i="1"/>
  <c r="D3494" i="1"/>
  <c r="E3494" i="1"/>
  <c r="F3494" i="1"/>
  <c r="G3494" i="1"/>
  <c r="H3494" i="1"/>
  <c r="I3494" i="1"/>
  <c r="C3495" i="1"/>
  <c r="D3495" i="1"/>
  <c r="E3495" i="1"/>
  <c r="F3495" i="1"/>
  <c r="G3495" i="1"/>
  <c r="H3495" i="1"/>
  <c r="I3495" i="1"/>
  <c r="C3496" i="1"/>
  <c r="D3496" i="1"/>
  <c r="E3496" i="1"/>
  <c r="F3496" i="1"/>
  <c r="G3496" i="1"/>
  <c r="H3496" i="1"/>
  <c r="I3496" i="1"/>
  <c r="C3497" i="1"/>
  <c r="D3497" i="1"/>
  <c r="E3497" i="1"/>
  <c r="F3497" i="1"/>
  <c r="G3497" i="1"/>
  <c r="H3497" i="1"/>
  <c r="I3497" i="1"/>
  <c r="C3498" i="1"/>
  <c r="D3498" i="1"/>
  <c r="E3498" i="1"/>
  <c r="F3498" i="1"/>
  <c r="G3498" i="1"/>
  <c r="H3498" i="1"/>
  <c r="I3498" i="1"/>
  <c r="C3499" i="1"/>
  <c r="D3499" i="1"/>
  <c r="E3499" i="1"/>
  <c r="F3499" i="1"/>
  <c r="G3499" i="1"/>
  <c r="H3499" i="1"/>
  <c r="I3499" i="1"/>
  <c r="C3500" i="1"/>
  <c r="D3500" i="1"/>
  <c r="E3500" i="1"/>
  <c r="F3500" i="1"/>
  <c r="G3500" i="1"/>
  <c r="H3500" i="1"/>
  <c r="I3500" i="1"/>
  <c r="C3501" i="1"/>
  <c r="D3501" i="1"/>
  <c r="E3501" i="1"/>
  <c r="F3501" i="1"/>
  <c r="G3501" i="1"/>
  <c r="H3501" i="1"/>
  <c r="I3501" i="1"/>
  <c r="C3502" i="1"/>
  <c r="D3502" i="1"/>
  <c r="E3502" i="1"/>
  <c r="F3502" i="1"/>
  <c r="G3502" i="1"/>
  <c r="H3502" i="1"/>
  <c r="I3502" i="1"/>
  <c r="C3503" i="1"/>
  <c r="D3503" i="1"/>
  <c r="E3503" i="1"/>
  <c r="F3503" i="1"/>
  <c r="G3503" i="1"/>
  <c r="H3503" i="1"/>
  <c r="I3503" i="1"/>
  <c r="C3504" i="1"/>
  <c r="D3504" i="1"/>
  <c r="E3504" i="1"/>
  <c r="F3504" i="1"/>
  <c r="G3504" i="1"/>
  <c r="H3504" i="1"/>
  <c r="I3504" i="1"/>
  <c r="C3505" i="1"/>
  <c r="D3505" i="1"/>
  <c r="E3505" i="1"/>
  <c r="F3505" i="1"/>
  <c r="G3505" i="1"/>
  <c r="H3505" i="1"/>
  <c r="I3505" i="1"/>
  <c r="C3506" i="1"/>
  <c r="D3506" i="1"/>
  <c r="E3506" i="1"/>
  <c r="F3506" i="1"/>
  <c r="G3506" i="1"/>
  <c r="H3506" i="1"/>
  <c r="I3506" i="1"/>
  <c r="C3507" i="1"/>
  <c r="D3507" i="1"/>
  <c r="E3507" i="1"/>
  <c r="F3507" i="1"/>
  <c r="G3507" i="1"/>
  <c r="H3507" i="1"/>
  <c r="I3507" i="1"/>
  <c r="C3508" i="1"/>
  <c r="D3508" i="1"/>
  <c r="E3508" i="1"/>
  <c r="F3508" i="1"/>
  <c r="G3508" i="1"/>
  <c r="H3508" i="1"/>
  <c r="I3508" i="1"/>
  <c r="C3535" i="1"/>
  <c r="D3535" i="1"/>
  <c r="E3535" i="1"/>
  <c r="F3535" i="1"/>
  <c r="G3535" i="1"/>
  <c r="H3535" i="1"/>
  <c r="I3535" i="1"/>
  <c r="C3537" i="1"/>
  <c r="D3537" i="1"/>
  <c r="E3537" i="1"/>
  <c r="F3537" i="1"/>
  <c r="G3537" i="1"/>
  <c r="H3537" i="1"/>
  <c r="I3537" i="1"/>
  <c r="C3542" i="1"/>
  <c r="D3542" i="1"/>
  <c r="E3542" i="1"/>
  <c r="F3542" i="1"/>
  <c r="G3542" i="1"/>
  <c r="H3542" i="1"/>
  <c r="I3542" i="1"/>
  <c r="C3509" i="1"/>
  <c r="D3509" i="1"/>
  <c r="E3509" i="1"/>
  <c r="F3509" i="1"/>
  <c r="G3509" i="1"/>
  <c r="H3509" i="1"/>
  <c r="I3509" i="1"/>
  <c r="C3539" i="1"/>
  <c r="D3539" i="1"/>
  <c r="E3539" i="1"/>
  <c r="F3539" i="1"/>
  <c r="G3539" i="1"/>
  <c r="H3539" i="1"/>
  <c r="I3539" i="1"/>
  <c r="C3540" i="1"/>
  <c r="D3540" i="1"/>
  <c r="E3540" i="1"/>
  <c r="F3540" i="1"/>
  <c r="G3540" i="1"/>
  <c r="H3540" i="1"/>
  <c r="I3540" i="1"/>
  <c r="C3510" i="1"/>
  <c r="D3510" i="1"/>
  <c r="E3510" i="1"/>
  <c r="F3510" i="1"/>
  <c r="G3510" i="1"/>
  <c r="H3510" i="1"/>
  <c r="I3510" i="1"/>
  <c r="C3511" i="1"/>
  <c r="D3511" i="1"/>
  <c r="E3511" i="1"/>
  <c r="F3511" i="1"/>
  <c r="G3511" i="1"/>
  <c r="H3511" i="1"/>
  <c r="I3511" i="1"/>
  <c r="C3512" i="1"/>
  <c r="D3512" i="1"/>
  <c r="E3512" i="1"/>
  <c r="F3512" i="1"/>
  <c r="G3512" i="1"/>
  <c r="H3512" i="1"/>
  <c r="I3512" i="1"/>
  <c r="C3513" i="1"/>
  <c r="D3513" i="1"/>
  <c r="E3513" i="1"/>
  <c r="F3513" i="1"/>
  <c r="G3513" i="1"/>
  <c r="H3513" i="1"/>
  <c r="I3513" i="1"/>
  <c r="C3514" i="1"/>
  <c r="D3514" i="1"/>
  <c r="E3514" i="1"/>
  <c r="F3514" i="1"/>
  <c r="G3514" i="1"/>
  <c r="H3514" i="1"/>
  <c r="I3514" i="1"/>
  <c r="C3515" i="1"/>
  <c r="D3515" i="1"/>
  <c r="E3515" i="1"/>
  <c r="F3515" i="1"/>
  <c r="G3515" i="1"/>
  <c r="H3515" i="1"/>
  <c r="I3515" i="1"/>
  <c r="C3516" i="1"/>
  <c r="D3516" i="1"/>
  <c r="E3516" i="1"/>
  <c r="F3516" i="1"/>
  <c r="G3516" i="1"/>
  <c r="H3516" i="1"/>
  <c r="I3516" i="1"/>
  <c r="C3517" i="1"/>
  <c r="D3517" i="1"/>
  <c r="E3517" i="1"/>
  <c r="F3517" i="1"/>
  <c r="G3517" i="1"/>
  <c r="H3517" i="1"/>
  <c r="I3517" i="1"/>
  <c r="C3544" i="1"/>
  <c r="D3544" i="1"/>
  <c r="E3544" i="1"/>
  <c r="F3544" i="1"/>
  <c r="G3544" i="1"/>
  <c r="H3544" i="1"/>
  <c r="I3544" i="1"/>
  <c r="C3545" i="1"/>
  <c r="D3545" i="1"/>
  <c r="E3545" i="1"/>
  <c r="F3545" i="1"/>
  <c r="G3545" i="1"/>
  <c r="H3545" i="1"/>
  <c r="I3545" i="1"/>
  <c r="C3546" i="1"/>
  <c r="D3546" i="1"/>
  <c r="E3546" i="1"/>
  <c r="F3546" i="1"/>
  <c r="G3546" i="1"/>
  <c r="H3546" i="1"/>
  <c r="I3546" i="1"/>
  <c r="C3547" i="1"/>
  <c r="D3547" i="1"/>
  <c r="E3547" i="1"/>
  <c r="F3547" i="1"/>
  <c r="G3547" i="1"/>
  <c r="H3547" i="1"/>
  <c r="I3547" i="1"/>
  <c r="C3548" i="1"/>
  <c r="D3548" i="1"/>
  <c r="E3548" i="1"/>
  <c r="F3548" i="1"/>
  <c r="G3548" i="1"/>
  <c r="H3548" i="1"/>
  <c r="I3548" i="1"/>
  <c r="C3549" i="1"/>
  <c r="D3549" i="1"/>
  <c r="E3549" i="1"/>
  <c r="F3549" i="1"/>
  <c r="G3549" i="1"/>
  <c r="H3549" i="1"/>
  <c r="I3549" i="1"/>
  <c r="C3550" i="1"/>
  <c r="D3550" i="1"/>
  <c r="E3550" i="1"/>
  <c r="F3550" i="1"/>
  <c r="G3550" i="1"/>
  <c r="H3550" i="1"/>
  <c r="I3550" i="1"/>
  <c r="C3551" i="1"/>
  <c r="D3551" i="1"/>
  <c r="E3551" i="1"/>
  <c r="F3551" i="1"/>
  <c r="G3551" i="1"/>
  <c r="H3551" i="1"/>
  <c r="I3551" i="1"/>
  <c r="C3552" i="1"/>
  <c r="D3552" i="1"/>
  <c r="E3552" i="1"/>
  <c r="F3552" i="1"/>
  <c r="G3552" i="1"/>
  <c r="H3552" i="1"/>
  <c r="I3552" i="1"/>
  <c r="C3593" i="1"/>
  <c r="D3593" i="1"/>
  <c r="E3593" i="1"/>
  <c r="F3593" i="1"/>
  <c r="G3593" i="1"/>
  <c r="H3593" i="1"/>
  <c r="I3593" i="1"/>
  <c r="C3594" i="1"/>
  <c r="D3594" i="1"/>
  <c r="E3594" i="1"/>
  <c r="F3594" i="1"/>
  <c r="G3594" i="1"/>
  <c r="H3594" i="1"/>
  <c r="I3594" i="1"/>
  <c r="C3595" i="1"/>
  <c r="D3595" i="1"/>
  <c r="E3595" i="1"/>
  <c r="F3595" i="1"/>
  <c r="G3595" i="1"/>
  <c r="H3595" i="1"/>
  <c r="I3595" i="1"/>
  <c r="C3553" i="1"/>
  <c r="D3553" i="1"/>
  <c r="E3553" i="1"/>
  <c r="F3553" i="1"/>
  <c r="G3553" i="1"/>
  <c r="H3553" i="1"/>
  <c r="I3553" i="1"/>
  <c r="C3554" i="1"/>
  <c r="D3554" i="1"/>
  <c r="E3554" i="1"/>
  <c r="F3554" i="1"/>
  <c r="G3554" i="1"/>
  <c r="H3554" i="1"/>
  <c r="I3554" i="1"/>
  <c r="C3555" i="1"/>
  <c r="D3555" i="1"/>
  <c r="E3555" i="1"/>
  <c r="F3555" i="1"/>
  <c r="G3555" i="1"/>
  <c r="H3555" i="1"/>
  <c r="I3555" i="1"/>
  <c r="C3556" i="1"/>
  <c r="D3556" i="1"/>
  <c r="E3556" i="1"/>
  <c r="F3556" i="1"/>
  <c r="G3556" i="1"/>
  <c r="H3556" i="1"/>
  <c r="I3556" i="1"/>
  <c r="C3557" i="1"/>
  <c r="D3557" i="1"/>
  <c r="E3557" i="1"/>
  <c r="F3557" i="1"/>
  <c r="G3557" i="1"/>
  <c r="H3557" i="1"/>
  <c r="I3557" i="1"/>
  <c r="C3558" i="1"/>
  <c r="D3558" i="1"/>
  <c r="E3558" i="1"/>
  <c r="F3558" i="1"/>
  <c r="G3558" i="1"/>
  <c r="H3558" i="1"/>
  <c r="I3558" i="1"/>
  <c r="C3559" i="1"/>
  <c r="D3559" i="1"/>
  <c r="E3559" i="1"/>
  <c r="F3559" i="1"/>
  <c r="G3559" i="1"/>
  <c r="H3559" i="1"/>
  <c r="I3559" i="1"/>
  <c r="C3560" i="1"/>
  <c r="D3560" i="1"/>
  <c r="E3560" i="1"/>
  <c r="F3560" i="1"/>
  <c r="G3560" i="1"/>
  <c r="H3560" i="1"/>
  <c r="I3560" i="1"/>
  <c r="C3561" i="1"/>
  <c r="D3561" i="1"/>
  <c r="E3561" i="1"/>
  <c r="F3561" i="1"/>
  <c r="G3561" i="1"/>
  <c r="H3561" i="1"/>
  <c r="I3561" i="1"/>
  <c r="C3562" i="1"/>
  <c r="D3562" i="1"/>
  <c r="E3562" i="1"/>
  <c r="F3562" i="1"/>
  <c r="G3562" i="1"/>
  <c r="H3562" i="1"/>
  <c r="I3562" i="1"/>
  <c r="C3563" i="1"/>
  <c r="D3563" i="1"/>
  <c r="E3563" i="1"/>
  <c r="F3563" i="1"/>
  <c r="G3563" i="1"/>
  <c r="H3563" i="1"/>
  <c r="I3563" i="1"/>
  <c r="C3564" i="1"/>
  <c r="D3564" i="1"/>
  <c r="E3564" i="1"/>
  <c r="F3564" i="1"/>
  <c r="G3564" i="1"/>
  <c r="H3564" i="1"/>
  <c r="I3564" i="1"/>
  <c r="C3565" i="1"/>
  <c r="D3565" i="1"/>
  <c r="E3565" i="1"/>
  <c r="F3565" i="1"/>
  <c r="G3565" i="1"/>
  <c r="H3565" i="1"/>
  <c r="I3565" i="1"/>
  <c r="C3566" i="1"/>
  <c r="D3566" i="1"/>
  <c r="E3566" i="1"/>
  <c r="F3566" i="1"/>
  <c r="G3566" i="1"/>
  <c r="H3566" i="1"/>
  <c r="I3566" i="1"/>
  <c r="C3567" i="1"/>
  <c r="D3567" i="1"/>
  <c r="E3567" i="1"/>
  <c r="F3567" i="1"/>
  <c r="G3567" i="1"/>
  <c r="H3567" i="1"/>
  <c r="I3567" i="1"/>
  <c r="C3568" i="1"/>
  <c r="D3568" i="1"/>
  <c r="E3568" i="1"/>
  <c r="F3568" i="1"/>
  <c r="G3568" i="1"/>
  <c r="H3568" i="1"/>
  <c r="I3568" i="1"/>
  <c r="C3597" i="1"/>
  <c r="D3597" i="1"/>
  <c r="E3597" i="1"/>
  <c r="F3597" i="1"/>
  <c r="G3597" i="1"/>
  <c r="H3597" i="1"/>
  <c r="I3597" i="1"/>
  <c r="C3598" i="1"/>
  <c r="D3598" i="1"/>
  <c r="E3598" i="1"/>
  <c r="F3598" i="1"/>
  <c r="G3598" i="1"/>
  <c r="H3598" i="1"/>
  <c r="I3598" i="1"/>
  <c r="C3599" i="1"/>
  <c r="D3599" i="1"/>
  <c r="E3599" i="1"/>
  <c r="F3599" i="1"/>
  <c r="G3599" i="1"/>
  <c r="H3599" i="1"/>
  <c r="I3599" i="1"/>
  <c r="C3600" i="1"/>
  <c r="D3600" i="1"/>
  <c r="E3600" i="1"/>
  <c r="F3600" i="1"/>
  <c r="G3600" i="1"/>
  <c r="H3600" i="1"/>
  <c r="I3600" i="1"/>
  <c r="C3601" i="1"/>
  <c r="D3601" i="1"/>
  <c r="E3601" i="1"/>
  <c r="F3601" i="1"/>
  <c r="G3601" i="1"/>
  <c r="H3601" i="1"/>
  <c r="I3601" i="1"/>
  <c r="C3602" i="1"/>
  <c r="D3602" i="1"/>
  <c r="E3602" i="1"/>
  <c r="F3602" i="1"/>
  <c r="G3602" i="1"/>
  <c r="H3602" i="1"/>
  <c r="I3602" i="1"/>
  <c r="C3603" i="1"/>
  <c r="D3603" i="1"/>
  <c r="E3603" i="1"/>
  <c r="F3603" i="1"/>
  <c r="G3603" i="1"/>
  <c r="H3603" i="1"/>
  <c r="I3603" i="1"/>
  <c r="C3604" i="1"/>
  <c r="D3604" i="1"/>
  <c r="E3604" i="1"/>
  <c r="F3604" i="1"/>
  <c r="G3604" i="1"/>
  <c r="H3604" i="1"/>
  <c r="I3604" i="1"/>
  <c r="C3605" i="1"/>
  <c r="D3605" i="1"/>
  <c r="E3605" i="1"/>
  <c r="F3605" i="1"/>
  <c r="G3605" i="1"/>
  <c r="H3605" i="1"/>
  <c r="I3605" i="1"/>
  <c r="C3606" i="1"/>
  <c r="D3606" i="1"/>
  <c r="E3606" i="1"/>
  <c r="F3606" i="1"/>
  <c r="G3606" i="1"/>
  <c r="H3606" i="1"/>
  <c r="I3606" i="1"/>
  <c r="C3607" i="1"/>
  <c r="D3607" i="1"/>
  <c r="E3607" i="1"/>
  <c r="F3607" i="1"/>
  <c r="G3607" i="1"/>
  <c r="H3607" i="1"/>
  <c r="I3607" i="1"/>
  <c r="C3608" i="1"/>
  <c r="D3608" i="1"/>
  <c r="E3608" i="1"/>
  <c r="F3608" i="1"/>
  <c r="G3608" i="1"/>
  <c r="H3608" i="1"/>
  <c r="I3608" i="1"/>
  <c r="C3609" i="1"/>
  <c r="D3609" i="1"/>
  <c r="E3609" i="1"/>
  <c r="F3609" i="1"/>
  <c r="G3609" i="1"/>
  <c r="H3609" i="1"/>
  <c r="I3609" i="1"/>
  <c r="C3610" i="1"/>
  <c r="D3610" i="1"/>
  <c r="E3610" i="1"/>
  <c r="F3610" i="1"/>
  <c r="G3610" i="1"/>
  <c r="H3610" i="1"/>
  <c r="I3610" i="1"/>
  <c r="C3611" i="1"/>
  <c r="D3611" i="1"/>
  <c r="E3611" i="1"/>
  <c r="F3611" i="1"/>
  <c r="G3611" i="1"/>
  <c r="H3611" i="1"/>
  <c r="I3611" i="1"/>
  <c r="C3612" i="1"/>
  <c r="D3612" i="1"/>
  <c r="E3612" i="1"/>
  <c r="F3612" i="1"/>
  <c r="G3612" i="1"/>
  <c r="H3612" i="1"/>
  <c r="I3612" i="1"/>
  <c r="C3613" i="1"/>
  <c r="D3613" i="1"/>
  <c r="E3613" i="1"/>
  <c r="F3613" i="1"/>
  <c r="G3613" i="1"/>
  <c r="H3613" i="1"/>
  <c r="I3613" i="1"/>
  <c r="C3614" i="1"/>
  <c r="D3614" i="1"/>
  <c r="E3614" i="1"/>
  <c r="F3614" i="1"/>
  <c r="G3614" i="1"/>
  <c r="H3614" i="1"/>
  <c r="I3614" i="1"/>
  <c r="C3615" i="1"/>
  <c r="D3615" i="1"/>
  <c r="E3615" i="1"/>
  <c r="F3615" i="1"/>
  <c r="G3615" i="1"/>
  <c r="H3615" i="1"/>
  <c r="I3615" i="1"/>
  <c r="C3616" i="1"/>
  <c r="D3616" i="1"/>
  <c r="E3616" i="1"/>
  <c r="F3616" i="1"/>
  <c r="G3616" i="1"/>
  <c r="H3616" i="1"/>
  <c r="I3616" i="1"/>
  <c r="C3617" i="1"/>
  <c r="D3617" i="1"/>
  <c r="E3617" i="1"/>
  <c r="F3617" i="1"/>
  <c r="G3617" i="1"/>
  <c r="H3617" i="1"/>
  <c r="I3617" i="1"/>
  <c r="C3618" i="1"/>
  <c r="D3618" i="1"/>
  <c r="E3618" i="1"/>
  <c r="F3618" i="1"/>
  <c r="G3618" i="1"/>
  <c r="H3618" i="1"/>
  <c r="I3618" i="1"/>
  <c r="C3619" i="1"/>
  <c r="D3619" i="1"/>
  <c r="E3619" i="1"/>
  <c r="F3619" i="1"/>
  <c r="G3619" i="1"/>
  <c r="H3619" i="1"/>
  <c r="I3619" i="1"/>
  <c r="C3620" i="1"/>
  <c r="D3620" i="1"/>
  <c r="E3620" i="1"/>
  <c r="F3620" i="1"/>
  <c r="G3620" i="1"/>
  <c r="H3620" i="1"/>
  <c r="I3620" i="1"/>
  <c r="C3621" i="1"/>
  <c r="D3621" i="1"/>
  <c r="E3621" i="1"/>
  <c r="F3621" i="1"/>
  <c r="G3621" i="1"/>
  <c r="H3621" i="1"/>
  <c r="I3621" i="1"/>
  <c r="C3622" i="1"/>
  <c r="D3622" i="1"/>
  <c r="E3622" i="1"/>
  <c r="F3622" i="1"/>
  <c r="G3622" i="1"/>
  <c r="H3622" i="1"/>
  <c r="I3622" i="1"/>
  <c r="C3623" i="1"/>
  <c r="D3623" i="1"/>
  <c r="E3623" i="1"/>
  <c r="F3623" i="1"/>
  <c r="G3623" i="1"/>
  <c r="H3623" i="1"/>
  <c r="I3623" i="1"/>
  <c r="C3624" i="1"/>
  <c r="D3624" i="1"/>
  <c r="E3624" i="1"/>
  <c r="F3624" i="1"/>
  <c r="G3624" i="1"/>
  <c r="H3624" i="1"/>
  <c r="I3624" i="1"/>
  <c r="C3625" i="1"/>
  <c r="D3625" i="1"/>
  <c r="E3625" i="1"/>
  <c r="F3625" i="1"/>
  <c r="G3625" i="1"/>
  <c r="H3625" i="1"/>
  <c r="I3625" i="1"/>
  <c r="C3626" i="1"/>
  <c r="D3626" i="1"/>
  <c r="E3626" i="1"/>
  <c r="F3626" i="1"/>
  <c r="G3626" i="1"/>
  <c r="H3626" i="1"/>
  <c r="I3626" i="1"/>
  <c r="C3627" i="1"/>
  <c r="D3627" i="1"/>
  <c r="E3627" i="1"/>
  <c r="F3627" i="1"/>
  <c r="G3627" i="1"/>
  <c r="H3627" i="1"/>
  <c r="I3627" i="1"/>
  <c r="C3628" i="1"/>
  <c r="D3628" i="1"/>
  <c r="E3628" i="1"/>
  <c r="F3628" i="1"/>
  <c r="G3628" i="1"/>
  <c r="H3628" i="1"/>
  <c r="I3628" i="1"/>
  <c r="C3629" i="1"/>
  <c r="D3629" i="1"/>
  <c r="E3629" i="1"/>
  <c r="F3629" i="1"/>
  <c r="G3629" i="1"/>
  <c r="H3629" i="1"/>
  <c r="I3629" i="1"/>
  <c r="C3630" i="1"/>
  <c r="D3630" i="1"/>
  <c r="E3630" i="1"/>
  <c r="F3630" i="1"/>
  <c r="G3630" i="1"/>
  <c r="H3630" i="1"/>
  <c r="I3630" i="1"/>
  <c r="C3631" i="1"/>
  <c r="D3631" i="1"/>
  <c r="E3631" i="1"/>
  <c r="F3631" i="1"/>
  <c r="G3631" i="1"/>
  <c r="H3631" i="1"/>
  <c r="I3631" i="1"/>
  <c r="C3632" i="1"/>
  <c r="D3632" i="1"/>
  <c r="E3632" i="1"/>
  <c r="F3632" i="1"/>
  <c r="G3632" i="1"/>
  <c r="H3632" i="1"/>
  <c r="I3632" i="1"/>
  <c r="C3658" i="1"/>
  <c r="D3658" i="1"/>
  <c r="E3658" i="1"/>
  <c r="F3658" i="1"/>
  <c r="G3658" i="1"/>
  <c r="H3658" i="1"/>
  <c r="I3658" i="1"/>
  <c r="C3659" i="1"/>
  <c r="D3659" i="1"/>
  <c r="E3659" i="1"/>
  <c r="F3659" i="1"/>
  <c r="G3659" i="1"/>
  <c r="H3659" i="1"/>
  <c r="I3659" i="1"/>
  <c r="C3660" i="1"/>
  <c r="D3660" i="1"/>
  <c r="E3660" i="1"/>
  <c r="F3660" i="1"/>
  <c r="G3660" i="1"/>
  <c r="H3660" i="1"/>
  <c r="I3660" i="1"/>
  <c r="C3661" i="1"/>
  <c r="D3661" i="1"/>
  <c r="E3661" i="1"/>
  <c r="F3661" i="1"/>
  <c r="G3661" i="1"/>
  <c r="H3661" i="1"/>
  <c r="I3661" i="1"/>
  <c r="C3662" i="1"/>
  <c r="D3662" i="1"/>
  <c r="E3662" i="1"/>
  <c r="F3662" i="1"/>
  <c r="G3662" i="1"/>
  <c r="H3662" i="1"/>
  <c r="I3662" i="1"/>
  <c r="C3663" i="1"/>
  <c r="D3663" i="1"/>
  <c r="E3663" i="1"/>
  <c r="F3663" i="1"/>
  <c r="G3663" i="1"/>
  <c r="H3663" i="1"/>
  <c r="I3663" i="1"/>
  <c r="C3664" i="1"/>
  <c r="D3664" i="1"/>
  <c r="E3664" i="1"/>
  <c r="F3664" i="1"/>
  <c r="G3664" i="1"/>
  <c r="H3664" i="1"/>
  <c r="I3664" i="1"/>
  <c r="C3665" i="1"/>
  <c r="D3665" i="1"/>
  <c r="E3665" i="1"/>
  <c r="F3665" i="1"/>
  <c r="G3665" i="1"/>
  <c r="H3665" i="1"/>
  <c r="I3665" i="1"/>
  <c r="C3666" i="1"/>
  <c r="D3666" i="1"/>
  <c r="E3666" i="1"/>
  <c r="F3666" i="1"/>
  <c r="G3666" i="1"/>
  <c r="H3666" i="1"/>
  <c r="I3666" i="1"/>
  <c r="C3667" i="1"/>
  <c r="D3667" i="1"/>
  <c r="E3667" i="1"/>
  <c r="F3667" i="1"/>
  <c r="G3667" i="1"/>
  <c r="H3667" i="1"/>
  <c r="I3667" i="1"/>
  <c r="C3668" i="1"/>
  <c r="D3668" i="1"/>
  <c r="E3668" i="1"/>
  <c r="F3668" i="1"/>
  <c r="G3668" i="1"/>
  <c r="H3668" i="1"/>
  <c r="I3668" i="1"/>
  <c r="C3669" i="1"/>
  <c r="D3669" i="1"/>
  <c r="E3669" i="1"/>
  <c r="F3669" i="1"/>
  <c r="G3669" i="1"/>
  <c r="H3669" i="1"/>
  <c r="I3669" i="1"/>
  <c r="C3670" i="1"/>
  <c r="D3670" i="1"/>
  <c r="E3670" i="1"/>
  <c r="F3670" i="1"/>
  <c r="G3670" i="1"/>
  <c r="H3670" i="1"/>
  <c r="I3670" i="1"/>
  <c r="C3671" i="1"/>
  <c r="D3671" i="1"/>
  <c r="E3671" i="1"/>
  <c r="F3671" i="1"/>
  <c r="G3671" i="1"/>
  <c r="H3671" i="1"/>
  <c r="I3671" i="1"/>
  <c r="C3672" i="1"/>
  <c r="D3672" i="1"/>
  <c r="E3672" i="1"/>
  <c r="F3672" i="1"/>
  <c r="G3672" i="1"/>
  <c r="H3672" i="1"/>
  <c r="I3672" i="1"/>
  <c r="C3673" i="1"/>
  <c r="D3673" i="1"/>
  <c r="E3673" i="1"/>
  <c r="F3673" i="1"/>
  <c r="G3673" i="1"/>
  <c r="H3673" i="1"/>
  <c r="I3673" i="1"/>
  <c r="C3674" i="1"/>
  <c r="D3674" i="1"/>
  <c r="E3674" i="1"/>
  <c r="F3674" i="1"/>
  <c r="G3674" i="1"/>
  <c r="H3674" i="1"/>
  <c r="I3674" i="1"/>
  <c r="C3675" i="1"/>
  <c r="D3675" i="1"/>
  <c r="E3675" i="1"/>
  <c r="F3675" i="1"/>
  <c r="G3675" i="1"/>
  <c r="H3675" i="1"/>
  <c r="I3675" i="1"/>
  <c r="C3676" i="1"/>
  <c r="D3676" i="1"/>
  <c r="E3676" i="1"/>
  <c r="F3676" i="1"/>
  <c r="G3676" i="1"/>
  <c r="H3676" i="1"/>
  <c r="I3676" i="1"/>
  <c r="C3677" i="1"/>
  <c r="D3677" i="1"/>
  <c r="E3677" i="1"/>
  <c r="F3677" i="1"/>
  <c r="G3677" i="1"/>
  <c r="H3677" i="1"/>
  <c r="I3677" i="1"/>
  <c r="C3678" i="1"/>
  <c r="D3678" i="1"/>
  <c r="E3678" i="1"/>
  <c r="F3678" i="1"/>
  <c r="G3678" i="1"/>
  <c r="H3678" i="1"/>
  <c r="I3678" i="1"/>
  <c r="C3679" i="1"/>
  <c r="D3679" i="1"/>
  <c r="E3679" i="1"/>
  <c r="F3679" i="1"/>
  <c r="G3679" i="1"/>
  <c r="H3679" i="1"/>
  <c r="I3679" i="1"/>
  <c r="C3680" i="1"/>
  <c r="D3680" i="1"/>
  <c r="E3680" i="1"/>
  <c r="F3680" i="1"/>
  <c r="G3680" i="1"/>
  <c r="H3680" i="1"/>
  <c r="I3680" i="1"/>
  <c r="C3681" i="1"/>
  <c r="D3681" i="1"/>
  <c r="E3681" i="1"/>
  <c r="F3681" i="1"/>
  <c r="G3681" i="1"/>
  <c r="H3681" i="1"/>
  <c r="I3681" i="1"/>
  <c r="C3682" i="1"/>
  <c r="D3682" i="1"/>
  <c r="E3682" i="1"/>
  <c r="F3682" i="1"/>
  <c r="G3682" i="1"/>
  <c r="H3682" i="1"/>
  <c r="I3682" i="1"/>
  <c r="C3683" i="1"/>
  <c r="D3683" i="1"/>
  <c r="E3683" i="1"/>
  <c r="F3683" i="1"/>
  <c r="G3683" i="1"/>
  <c r="H3683" i="1"/>
  <c r="I3683" i="1"/>
  <c r="C3684" i="1"/>
  <c r="D3684" i="1"/>
  <c r="E3684" i="1"/>
  <c r="F3684" i="1"/>
  <c r="G3684" i="1"/>
  <c r="H3684" i="1"/>
  <c r="I3684" i="1"/>
  <c r="C3685" i="1"/>
  <c r="D3685" i="1"/>
  <c r="E3685" i="1"/>
  <c r="F3685" i="1"/>
  <c r="G3685" i="1"/>
  <c r="H3685" i="1"/>
  <c r="I3685" i="1"/>
  <c r="C3706" i="1"/>
  <c r="D3706" i="1"/>
  <c r="E3706" i="1"/>
  <c r="F3706" i="1"/>
  <c r="G3706" i="1"/>
  <c r="H3706" i="1"/>
  <c r="I3706" i="1"/>
  <c r="C3707" i="1"/>
  <c r="D3707" i="1"/>
  <c r="E3707" i="1"/>
  <c r="F3707" i="1"/>
  <c r="G3707" i="1"/>
  <c r="H3707" i="1"/>
  <c r="I3707" i="1"/>
  <c r="C3708" i="1"/>
  <c r="D3708" i="1"/>
  <c r="E3708" i="1"/>
  <c r="F3708" i="1"/>
  <c r="G3708" i="1"/>
  <c r="H3708" i="1"/>
  <c r="I3708" i="1"/>
  <c r="C3709" i="1"/>
  <c r="D3709" i="1"/>
  <c r="E3709" i="1"/>
  <c r="F3709" i="1"/>
  <c r="G3709" i="1"/>
  <c r="H3709" i="1"/>
  <c r="I3709" i="1"/>
  <c r="C3710" i="1"/>
  <c r="D3710" i="1"/>
  <c r="E3710" i="1"/>
  <c r="F3710" i="1"/>
  <c r="G3710" i="1"/>
  <c r="H3710" i="1"/>
  <c r="I3710" i="1"/>
  <c r="C3711" i="1"/>
  <c r="D3711" i="1"/>
  <c r="E3711" i="1"/>
  <c r="F3711" i="1"/>
  <c r="G3711" i="1"/>
  <c r="H3711" i="1"/>
  <c r="I3711" i="1"/>
  <c r="C3712" i="1"/>
  <c r="D3712" i="1"/>
  <c r="E3712" i="1"/>
  <c r="F3712" i="1"/>
  <c r="G3712" i="1"/>
  <c r="H3712" i="1"/>
  <c r="I3712" i="1"/>
  <c r="C3713" i="1"/>
  <c r="D3713" i="1"/>
  <c r="E3713" i="1"/>
  <c r="F3713" i="1"/>
  <c r="G3713" i="1"/>
  <c r="H3713" i="1"/>
  <c r="I3713" i="1"/>
  <c r="C3714" i="1"/>
  <c r="D3714" i="1"/>
  <c r="E3714" i="1"/>
  <c r="F3714" i="1"/>
  <c r="G3714" i="1"/>
  <c r="H3714" i="1"/>
  <c r="I3714" i="1"/>
  <c r="C3715" i="1"/>
  <c r="D3715" i="1"/>
  <c r="E3715" i="1"/>
  <c r="F3715" i="1"/>
  <c r="G3715" i="1"/>
  <c r="H3715" i="1"/>
  <c r="I3715" i="1"/>
  <c r="C3716" i="1"/>
  <c r="D3716" i="1"/>
  <c r="E3716" i="1"/>
  <c r="F3716" i="1"/>
  <c r="G3716" i="1"/>
  <c r="H3716" i="1"/>
  <c r="I3716" i="1"/>
  <c r="C3717" i="1"/>
  <c r="D3717" i="1"/>
  <c r="E3717" i="1"/>
  <c r="F3717" i="1"/>
  <c r="G3717" i="1"/>
  <c r="H3717" i="1"/>
  <c r="I3717" i="1"/>
  <c r="C3718" i="1"/>
  <c r="D3718" i="1"/>
  <c r="E3718" i="1"/>
  <c r="F3718" i="1"/>
  <c r="G3718" i="1"/>
  <c r="H3718" i="1"/>
  <c r="I3718" i="1"/>
  <c r="C3719" i="1"/>
  <c r="D3719" i="1"/>
  <c r="E3719" i="1"/>
  <c r="F3719" i="1"/>
  <c r="G3719" i="1"/>
  <c r="H3719" i="1"/>
  <c r="I3719" i="1"/>
  <c r="C3720" i="1"/>
  <c r="D3720" i="1"/>
  <c r="E3720" i="1"/>
  <c r="F3720" i="1"/>
  <c r="G3720" i="1"/>
  <c r="H3720" i="1"/>
  <c r="I3720" i="1"/>
  <c r="C3721" i="1"/>
  <c r="D3721" i="1"/>
  <c r="E3721" i="1"/>
  <c r="F3721" i="1"/>
  <c r="G3721" i="1"/>
  <c r="H3721" i="1"/>
  <c r="I3721" i="1"/>
  <c r="C3722" i="1"/>
  <c r="D3722" i="1"/>
  <c r="E3722" i="1"/>
  <c r="F3722" i="1"/>
  <c r="G3722" i="1"/>
  <c r="H3722" i="1"/>
  <c r="I3722" i="1"/>
  <c r="C3723" i="1"/>
  <c r="D3723" i="1"/>
  <c r="E3723" i="1"/>
  <c r="F3723" i="1"/>
  <c r="G3723" i="1"/>
  <c r="H3723" i="1"/>
  <c r="I3723" i="1"/>
  <c r="C3724" i="1"/>
  <c r="D3724" i="1"/>
  <c r="E3724" i="1"/>
  <c r="F3724" i="1"/>
  <c r="G3724" i="1"/>
  <c r="H3724" i="1"/>
  <c r="I3724" i="1"/>
  <c r="C3725" i="1"/>
  <c r="D3725" i="1"/>
  <c r="E3725" i="1"/>
  <c r="F3725" i="1"/>
  <c r="G3725" i="1"/>
  <c r="H3725" i="1"/>
  <c r="I3725" i="1"/>
  <c r="C3726" i="1"/>
  <c r="D3726" i="1"/>
  <c r="E3726" i="1"/>
  <c r="F3726" i="1"/>
  <c r="G3726" i="1"/>
  <c r="H3726" i="1"/>
  <c r="I3726" i="1"/>
  <c r="C3727" i="1"/>
  <c r="D3727" i="1"/>
  <c r="E3727" i="1"/>
  <c r="F3727" i="1"/>
  <c r="G3727" i="1"/>
  <c r="H3727" i="1"/>
  <c r="I3727" i="1"/>
  <c r="C3728" i="1"/>
  <c r="D3728" i="1"/>
  <c r="E3728" i="1"/>
  <c r="F3728" i="1"/>
  <c r="G3728" i="1"/>
  <c r="H3728" i="1"/>
  <c r="I3728" i="1"/>
  <c r="C3729" i="1"/>
  <c r="D3729" i="1"/>
  <c r="E3729" i="1"/>
  <c r="F3729" i="1"/>
  <c r="G3729" i="1"/>
  <c r="H3729" i="1"/>
  <c r="I3729" i="1"/>
  <c r="C3730" i="1"/>
  <c r="D3730" i="1"/>
  <c r="E3730" i="1"/>
  <c r="F3730" i="1"/>
  <c r="G3730" i="1"/>
  <c r="H3730" i="1"/>
  <c r="I3730" i="1"/>
  <c r="C3731" i="1"/>
  <c r="D3731" i="1"/>
  <c r="E3731" i="1"/>
  <c r="F3731" i="1"/>
  <c r="G3731" i="1"/>
  <c r="H3731" i="1"/>
  <c r="I3731" i="1"/>
  <c r="C3732" i="1"/>
  <c r="D3732" i="1"/>
  <c r="E3732" i="1"/>
  <c r="F3732" i="1"/>
  <c r="G3732" i="1"/>
  <c r="H3732" i="1"/>
  <c r="I3732" i="1"/>
  <c r="C3733" i="1"/>
  <c r="D3733" i="1"/>
  <c r="E3733" i="1"/>
  <c r="F3733" i="1"/>
  <c r="G3733" i="1"/>
  <c r="H3733" i="1"/>
  <c r="I3733" i="1"/>
  <c r="C3734" i="1"/>
  <c r="D3734" i="1"/>
  <c r="E3734" i="1"/>
  <c r="F3734" i="1"/>
  <c r="G3734" i="1"/>
  <c r="H3734" i="1"/>
  <c r="I3734" i="1"/>
  <c r="C3735" i="1"/>
  <c r="D3735" i="1"/>
  <c r="E3735" i="1"/>
  <c r="F3735" i="1"/>
  <c r="G3735" i="1"/>
  <c r="H3735" i="1"/>
  <c r="I3735" i="1"/>
  <c r="C3762" i="1"/>
  <c r="D3762" i="1"/>
  <c r="E3762" i="1"/>
  <c r="F3762" i="1"/>
  <c r="G3762" i="1"/>
  <c r="H3762" i="1"/>
  <c r="I3762" i="1"/>
  <c r="C3763" i="1"/>
  <c r="D3763" i="1"/>
  <c r="E3763" i="1"/>
  <c r="F3763" i="1"/>
  <c r="G3763" i="1"/>
  <c r="H3763" i="1"/>
  <c r="I3763" i="1"/>
  <c r="C3764" i="1"/>
  <c r="D3764" i="1"/>
  <c r="E3764" i="1"/>
  <c r="F3764" i="1"/>
  <c r="G3764" i="1"/>
  <c r="H3764" i="1"/>
  <c r="I3764" i="1"/>
  <c r="C3765" i="1"/>
  <c r="D3765" i="1"/>
  <c r="E3765" i="1"/>
  <c r="F3765" i="1"/>
  <c r="G3765" i="1"/>
  <c r="H3765" i="1"/>
  <c r="I3765" i="1"/>
  <c r="C3766" i="1"/>
  <c r="D3766" i="1"/>
  <c r="E3766" i="1"/>
  <c r="F3766" i="1"/>
  <c r="G3766" i="1"/>
  <c r="H3766" i="1"/>
  <c r="I3766" i="1"/>
  <c r="C3767" i="1"/>
  <c r="D3767" i="1"/>
  <c r="E3767" i="1"/>
  <c r="F3767" i="1"/>
  <c r="G3767" i="1"/>
  <c r="H3767" i="1"/>
  <c r="I3767" i="1"/>
  <c r="C3768" i="1"/>
  <c r="D3768" i="1"/>
  <c r="E3768" i="1"/>
  <c r="F3768" i="1"/>
  <c r="G3768" i="1"/>
  <c r="H3768" i="1"/>
  <c r="I3768" i="1"/>
  <c r="C3769" i="1"/>
  <c r="D3769" i="1"/>
  <c r="E3769" i="1"/>
  <c r="F3769" i="1"/>
  <c r="G3769" i="1"/>
  <c r="H3769" i="1"/>
  <c r="I3769" i="1"/>
  <c r="C3770" i="1"/>
  <c r="D3770" i="1"/>
  <c r="E3770" i="1"/>
  <c r="F3770" i="1"/>
  <c r="G3770" i="1"/>
  <c r="H3770" i="1"/>
  <c r="I3770" i="1"/>
  <c r="C3771" i="1"/>
  <c r="D3771" i="1"/>
  <c r="E3771" i="1"/>
  <c r="F3771" i="1"/>
  <c r="G3771" i="1"/>
  <c r="H3771" i="1"/>
  <c r="I3771" i="1"/>
  <c r="C3772" i="1"/>
  <c r="D3772" i="1"/>
  <c r="E3772" i="1"/>
  <c r="F3772" i="1"/>
  <c r="G3772" i="1"/>
  <c r="H3772" i="1"/>
  <c r="I3772" i="1"/>
  <c r="C3773" i="1"/>
  <c r="D3773" i="1"/>
  <c r="E3773" i="1"/>
  <c r="F3773" i="1"/>
  <c r="G3773" i="1"/>
  <c r="H3773" i="1"/>
  <c r="I3773" i="1"/>
  <c r="C3774" i="1"/>
  <c r="D3774" i="1"/>
  <c r="E3774" i="1"/>
  <c r="F3774" i="1"/>
  <c r="G3774" i="1"/>
  <c r="H3774" i="1"/>
  <c r="I3774" i="1"/>
  <c r="C3775" i="1"/>
  <c r="D3775" i="1"/>
  <c r="E3775" i="1"/>
  <c r="F3775" i="1"/>
  <c r="G3775" i="1"/>
  <c r="H3775" i="1"/>
  <c r="I3775" i="1"/>
  <c r="C3776" i="1"/>
  <c r="D3776" i="1"/>
  <c r="E3776" i="1"/>
  <c r="F3776" i="1"/>
  <c r="G3776" i="1"/>
  <c r="H3776" i="1"/>
  <c r="I3776" i="1"/>
  <c r="C3777" i="1"/>
  <c r="D3777" i="1"/>
  <c r="E3777" i="1"/>
  <c r="F3777" i="1"/>
  <c r="G3777" i="1"/>
  <c r="H3777" i="1"/>
  <c r="I3777" i="1"/>
  <c r="C3778" i="1"/>
  <c r="D3778" i="1"/>
  <c r="E3778" i="1"/>
  <c r="F3778" i="1"/>
  <c r="G3778" i="1"/>
  <c r="H3778" i="1"/>
  <c r="I3778" i="1"/>
  <c r="C3779" i="1"/>
  <c r="D3779" i="1"/>
  <c r="E3779" i="1"/>
  <c r="F3779" i="1"/>
  <c r="G3779" i="1"/>
  <c r="H3779" i="1"/>
  <c r="I3779" i="1"/>
  <c r="C3780" i="1"/>
  <c r="D3780" i="1"/>
  <c r="E3780" i="1"/>
  <c r="F3780" i="1"/>
  <c r="G3780" i="1"/>
  <c r="H3780" i="1"/>
  <c r="I3780" i="1"/>
  <c r="C3781" i="1"/>
  <c r="D3781" i="1"/>
  <c r="E3781" i="1"/>
  <c r="F3781" i="1"/>
  <c r="G3781" i="1"/>
  <c r="H3781" i="1"/>
  <c r="I3781" i="1"/>
  <c r="C3782" i="1"/>
  <c r="D3782" i="1"/>
  <c r="E3782" i="1"/>
  <c r="F3782" i="1"/>
  <c r="G3782" i="1"/>
  <c r="H3782" i="1"/>
  <c r="I3782" i="1"/>
  <c r="C3783" i="1"/>
  <c r="D3783" i="1"/>
  <c r="E3783" i="1"/>
  <c r="F3783" i="1"/>
  <c r="G3783" i="1"/>
  <c r="H3783" i="1"/>
  <c r="I3783" i="1"/>
  <c r="C3784" i="1"/>
  <c r="D3784" i="1"/>
  <c r="E3784" i="1"/>
  <c r="F3784" i="1"/>
  <c r="G3784" i="1"/>
  <c r="H3784" i="1"/>
  <c r="I3784" i="1"/>
  <c r="C3785" i="1"/>
  <c r="D3785" i="1"/>
  <c r="E3785" i="1"/>
  <c r="F3785" i="1"/>
  <c r="G3785" i="1"/>
  <c r="H3785" i="1"/>
  <c r="I3785" i="1"/>
  <c r="C3786" i="1"/>
  <c r="D3786" i="1"/>
  <c r="E3786" i="1"/>
  <c r="F3786" i="1"/>
  <c r="G3786" i="1"/>
  <c r="H3786" i="1"/>
  <c r="I3786" i="1"/>
  <c r="C3787" i="1"/>
  <c r="D3787" i="1"/>
  <c r="E3787" i="1"/>
  <c r="F3787" i="1"/>
  <c r="G3787" i="1"/>
  <c r="H3787" i="1"/>
  <c r="I3787" i="1"/>
  <c r="C3788" i="1"/>
  <c r="D3788" i="1"/>
  <c r="E3788" i="1"/>
  <c r="F3788" i="1"/>
  <c r="G3788" i="1"/>
  <c r="H3788" i="1"/>
  <c r="I3788" i="1"/>
  <c r="C3789" i="1"/>
  <c r="D3789" i="1"/>
  <c r="E3789" i="1"/>
  <c r="F3789" i="1"/>
  <c r="G3789" i="1"/>
  <c r="H3789" i="1"/>
  <c r="I3789" i="1"/>
  <c r="C3814" i="1"/>
  <c r="D3814" i="1"/>
  <c r="E3814" i="1"/>
  <c r="F3814" i="1"/>
  <c r="G3814" i="1"/>
  <c r="H3814" i="1"/>
  <c r="I3814" i="1"/>
  <c r="C3815" i="1"/>
  <c r="D3815" i="1"/>
  <c r="E3815" i="1"/>
  <c r="F3815" i="1"/>
  <c r="G3815" i="1"/>
  <c r="H3815" i="1"/>
  <c r="I3815" i="1"/>
  <c r="C3816" i="1"/>
  <c r="D3816" i="1"/>
  <c r="E3816" i="1"/>
  <c r="F3816" i="1"/>
  <c r="G3816" i="1"/>
  <c r="H3816" i="1"/>
  <c r="I3816" i="1"/>
  <c r="C3817" i="1"/>
  <c r="D3817" i="1"/>
  <c r="E3817" i="1"/>
  <c r="F3817" i="1"/>
  <c r="G3817" i="1"/>
  <c r="H3817" i="1"/>
  <c r="I3817" i="1"/>
  <c r="C3818" i="1"/>
  <c r="D3818" i="1"/>
  <c r="E3818" i="1"/>
  <c r="F3818" i="1"/>
  <c r="G3818" i="1"/>
  <c r="H3818" i="1"/>
  <c r="I3818" i="1"/>
  <c r="C3819" i="1"/>
  <c r="D3819" i="1"/>
  <c r="E3819" i="1"/>
  <c r="F3819" i="1"/>
  <c r="G3819" i="1"/>
  <c r="H3819" i="1"/>
  <c r="I3819" i="1"/>
  <c r="C3820" i="1"/>
  <c r="D3820" i="1"/>
  <c r="E3820" i="1"/>
  <c r="F3820" i="1"/>
  <c r="G3820" i="1"/>
  <c r="H3820" i="1"/>
  <c r="I3820" i="1"/>
  <c r="C3821" i="1"/>
  <c r="D3821" i="1"/>
  <c r="E3821" i="1"/>
  <c r="F3821" i="1"/>
  <c r="G3821" i="1"/>
  <c r="H3821" i="1"/>
  <c r="I3821" i="1"/>
  <c r="C3822" i="1"/>
  <c r="D3822" i="1"/>
  <c r="E3822" i="1"/>
  <c r="F3822" i="1"/>
  <c r="G3822" i="1"/>
  <c r="H3822" i="1"/>
  <c r="I3822" i="1"/>
  <c r="C3823" i="1"/>
  <c r="D3823" i="1"/>
  <c r="E3823" i="1"/>
  <c r="F3823" i="1"/>
  <c r="G3823" i="1"/>
  <c r="H3823" i="1"/>
  <c r="I3823" i="1"/>
  <c r="C3824" i="1"/>
  <c r="D3824" i="1"/>
  <c r="E3824" i="1"/>
  <c r="F3824" i="1"/>
  <c r="G3824" i="1"/>
  <c r="H3824" i="1"/>
  <c r="I3824" i="1"/>
  <c r="C3825" i="1"/>
  <c r="D3825" i="1"/>
  <c r="E3825" i="1"/>
  <c r="F3825" i="1"/>
  <c r="G3825" i="1"/>
  <c r="H3825" i="1"/>
  <c r="I3825" i="1"/>
  <c r="C3826" i="1"/>
  <c r="D3826" i="1"/>
  <c r="E3826" i="1"/>
  <c r="F3826" i="1"/>
  <c r="G3826" i="1"/>
  <c r="H3826" i="1"/>
  <c r="I3826" i="1"/>
  <c r="C3827" i="1"/>
  <c r="D3827" i="1"/>
  <c r="E3827" i="1"/>
  <c r="F3827" i="1"/>
  <c r="G3827" i="1"/>
  <c r="H3827" i="1"/>
  <c r="I3827" i="1"/>
  <c r="C3828" i="1"/>
  <c r="D3828" i="1"/>
  <c r="E3828" i="1"/>
  <c r="F3828" i="1"/>
  <c r="G3828" i="1"/>
  <c r="H3828" i="1"/>
  <c r="I3828" i="1"/>
  <c r="C3829" i="1"/>
  <c r="D3829" i="1"/>
  <c r="E3829" i="1"/>
  <c r="F3829" i="1"/>
  <c r="G3829" i="1"/>
  <c r="H3829" i="1"/>
  <c r="I3829" i="1"/>
  <c r="C3830" i="1"/>
  <c r="D3830" i="1"/>
  <c r="E3830" i="1"/>
  <c r="F3830" i="1"/>
  <c r="G3830" i="1"/>
  <c r="H3830" i="1"/>
  <c r="I3830" i="1"/>
  <c r="C3831" i="1"/>
  <c r="D3831" i="1"/>
  <c r="E3831" i="1"/>
  <c r="F3831" i="1"/>
  <c r="G3831" i="1"/>
  <c r="H3831" i="1"/>
  <c r="I3831" i="1"/>
  <c r="C3832" i="1"/>
  <c r="D3832" i="1"/>
  <c r="E3832" i="1"/>
  <c r="F3832" i="1"/>
  <c r="G3832" i="1"/>
  <c r="H3832" i="1"/>
  <c r="I3832" i="1"/>
  <c r="C3833" i="1"/>
  <c r="D3833" i="1"/>
  <c r="E3833" i="1"/>
  <c r="F3833" i="1"/>
  <c r="G3833" i="1"/>
  <c r="H3833" i="1"/>
  <c r="I3833" i="1"/>
  <c r="C3834" i="1"/>
  <c r="D3834" i="1"/>
  <c r="E3834" i="1"/>
  <c r="F3834" i="1"/>
  <c r="G3834" i="1"/>
  <c r="H3834" i="1"/>
  <c r="I3834" i="1"/>
  <c r="C3835" i="1"/>
  <c r="D3835" i="1"/>
  <c r="E3835" i="1"/>
  <c r="F3835" i="1"/>
  <c r="G3835" i="1"/>
  <c r="H3835" i="1"/>
  <c r="I3835" i="1"/>
  <c r="C3836" i="1"/>
  <c r="D3836" i="1"/>
  <c r="E3836" i="1"/>
  <c r="F3836" i="1"/>
  <c r="G3836" i="1"/>
  <c r="H3836" i="1"/>
  <c r="I3836" i="1"/>
  <c r="C3837" i="1"/>
  <c r="D3837" i="1"/>
  <c r="E3837" i="1"/>
  <c r="F3837" i="1"/>
  <c r="G3837" i="1"/>
  <c r="H3837" i="1"/>
  <c r="I3837" i="1"/>
  <c r="C3838" i="1"/>
  <c r="D3838" i="1"/>
  <c r="E3838" i="1"/>
  <c r="F3838" i="1"/>
  <c r="G3838" i="1"/>
  <c r="H3838" i="1"/>
  <c r="I3838" i="1"/>
  <c r="C3839" i="1"/>
  <c r="D3839" i="1"/>
  <c r="E3839" i="1"/>
  <c r="F3839" i="1"/>
  <c r="G3839" i="1"/>
  <c r="H3839" i="1"/>
  <c r="I3839" i="1"/>
  <c r="C3840" i="1"/>
  <c r="D3840" i="1"/>
  <c r="E3840" i="1"/>
  <c r="F3840" i="1"/>
  <c r="G3840" i="1"/>
  <c r="H3840" i="1"/>
  <c r="I3840" i="1"/>
  <c r="C3841" i="1"/>
  <c r="D3841" i="1"/>
  <c r="E3841" i="1"/>
  <c r="F3841" i="1"/>
  <c r="G3841" i="1"/>
  <c r="H3841" i="1"/>
  <c r="I3841" i="1"/>
  <c r="C3842" i="1"/>
  <c r="D3842" i="1"/>
  <c r="E3842" i="1"/>
  <c r="F3842" i="1"/>
  <c r="G3842" i="1"/>
  <c r="H3842" i="1"/>
  <c r="I3842" i="1"/>
  <c r="C3843" i="1"/>
  <c r="D3843" i="1"/>
  <c r="E3843" i="1"/>
  <c r="F3843" i="1"/>
  <c r="G3843" i="1"/>
  <c r="H3843" i="1"/>
  <c r="I3843" i="1"/>
  <c r="C3844" i="1"/>
  <c r="D3844" i="1"/>
  <c r="E3844" i="1"/>
  <c r="F3844" i="1"/>
  <c r="G3844" i="1"/>
  <c r="H3844" i="1"/>
  <c r="I3844" i="1"/>
  <c r="C3845" i="1"/>
  <c r="D3845" i="1"/>
  <c r="E3845" i="1"/>
  <c r="F3845" i="1"/>
  <c r="G3845" i="1"/>
  <c r="H3845" i="1"/>
  <c r="I3845" i="1"/>
  <c r="C3863" i="1"/>
  <c r="D3863" i="1"/>
  <c r="E3863" i="1"/>
  <c r="F3863" i="1"/>
  <c r="G3863" i="1"/>
  <c r="H3863" i="1"/>
  <c r="I3863" i="1"/>
  <c r="C3864" i="1"/>
  <c r="D3864" i="1"/>
  <c r="E3864" i="1"/>
  <c r="F3864" i="1"/>
  <c r="G3864" i="1"/>
  <c r="H3864" i="1"/>
  <c r="I3864" i="1"/>
  <c r="C3865" i="1"/>
  <c r="D3865" i="1"/>
  <c r="E3865" i="1"/>
  <c r="F3865" i="1"/>
  <c r="G3865" i="1"/>
  <c r="H3865" i="1"/>
  <c r="I3865" i="1"/>
  <c r="C3866" i="1"/>
  <c r="D3866" i="1"/>
  <c r="E3866" i="1"/>
  <c r="F3866" i="1"/>
  <c r="G3866" i="1"/>
  <c r="H3866" i="1"/>
  <c r="I3866" i="1"/>
  <c r="C3867" i="1"/>
  <c r="D3867" i="1"/>
  <c r="E3867" i="1"/>
  <c r="F3867" i="1"/>
  <c r="G3867" i="1"/>
  <c r="H3867" i="1"/>
  <c r="I3867" i="1"/>
  <c r="C3868" i="1"/>
  <c r="D3868" i="1"/>
  <c r="E3868" i="1"/>
  <c r="F3868" i="1"/>
  <c r="G3868" i="1"/>
  <c r="H3868" i="1"/>
  <c r="I3868" i="1"/>
  <c r="C3869" i="1"/>
  <c r="D3869" i="1"/>
  <c r="E3869" i="1"/>
  <c r="F3869" i="1"/>
  <c r="G3869" i="1"/>
  <c r="H3869" i="1"/>
  <c r="I3869" i="1"/>
  <c r="C3870" i="1"/>
  <c r="D3870" i="1"/>
  <c r="E3870" i="1"/>
  <c r="F3870" i="1"/>
  <c r="G3870" i="1"/>
  <c r="H3870" i="1"/>
  <c r="I3870" i="1"/>
  <c r="C3871" i="1"/>
  <c r="D3871" i="1"/>
  <c r="E3871" i="1"/>
  <c r="F3871" i="1"/>
  <c r="G3871" i="1"/>
  <c r="H3871" i="1"/>
  <c r="I3871" i="1"/>
  <c r="C3872" i="1"/>
  <c r="D3872" i="1"/>
  <c r="E3872" i="1"/>
  <c r="F3872" i="1"/>
  <c r="G3872" i="1"/>
  <c r="H3872" i="1"/>
  <c r="I3872" i="1"/>
  <c r="C3873" i="1"/>
  <c r="D3873" i="1"/>
  <c r="E3873" i="1"/>
  <c r="F3873" i="1"/>
  <c r="G3873" i="1"/>
  <c r="H3873" i="1"/>
  <c r="I3873" i="1"/>
  <c r="C3874" i="1"/>
  <c r="D3874" i="1"/>
  <c r="E3874" i="1"/>
  <c r="F3874" i="1"/>
  <c r="G3874" i="1"/>
  <c r="H3874" i="1"/>
  <c r="I3874" i="1"/>
  <c r="C3875" i="1"/>
  <c r="D3875" i="1"/>
  <c r="E3875" i="1"/>
  <c r="F3875" i="1"/>
  <c r="G3875" i="1"/>
  <c r="H3875" i="1"/>
  <c r="I3875" i="1"/>
  <c r="C3876" i="1"/>
  <c r="D3876" i="1"/>
  <c r="E3876" i="1"/>
  <c r="F3876" i="1"/>
  <c r="G3876" i="1"/>
  <c r="H3876" i="1"/>
  <c r="I3876" i="1"/>
  <c r="C3877" i="1"/>
  <c r="D3877" i="1"/>
  <c r="E3877" i="1"/>
  <c r="F3877" i="1"/>
  <c r="G3877" i="1"/>
  <c r="H3877" i="1"/>
  <c r="I3877" i="1"/>
  <c r="C3878" i="1"/>
  <c r="D3878" i="1"/>
  <c r="E3878" i="1"/>
  <c r="F3878" i="1"/>
  <c r="G3878" i="1"/>
  <c r="H3878" i="1"/>
  <c r="I3878" i="1"/>
  <c r="C3879" i="1"/>
  <c r="D3879" i="1"/>
  <c r="E3879" i="1"/>
  <c r="F3879" i="1"/>
  <c r="G3879" i="1"/>
  <c r="H3879" i="1"/>
  <c r="I3879" i="1"/>
  <c r="C3880" i="1"/>
  <c r="D3880" i="1"/>
  <c r="E3880" i="1"/>
  <c r="F3880" i="1"/>
  <c r="G3880" i="1"/>
  <c r="H3880" i="1"/>
  <c r="I3880" i="1"/>
  <c r="C3881" i="1"/>
  <c r="D3881" i="1"/>
  <c r="E3881" i="1"/>
  <c r="F3881" i="1"/>
  <c r="G3881" i="1"/>
  <c r="H3881" i="1"/>
  <c r="I3881" i="1"/>
  <c r="C3882" i="1"/>
  <c r="D3882" i="1"/>
  <c r="E3882" i="1"/>
  <c r="F3882" i="1"/>
  <c r="G3882" i="1"/>
  <c r="H3882" i="1"/>
  <c r="I3882" i="1"/>
  <c r="C3883" i="1"/>
  <c r="D3883" i="1"/>
  <c r="E3883" i="1"/>
  <c r="F3883" i="1"/>
  <c r="G3883" i="1"/>
  <c r="H3883" i="1"/>
  <c r="I3883" i="1"/>
  <c r="C3884" i="1"/>
  <c r="D3884" i="1"/>
  <c r="E3884" i="1"/>
  <c r="F3884" i="1"/>
  <c r="G3884" i="1"/>
  <c r="H3884" i="1"/>
  <c r="I3884" i="1"/>
  <c r="C3885" i="1"/>
  <c r="D3885" i="1"/>
  <c r="E3885" i="1"/>
  <c r="F3885" i="1"/>
  <c r="G3885" i="1"/>
  <c r="H3885" i="1"/>
  <c r="I3885" i="1"/>
  <c r="C3886" i="1"/>
  <c r="D3886" i="1"/>
  <c r="E3886" i="1"/>
  <c r="F3886" i="1"/>
  <c r="G3886" i="1"/>
  <c r="H3886" i="1"/>
  <c r="I3886" i="1"/>
  <c r="C3887" i="1"/>
  <c r="D3887" i="1"/>
  <c r="E3887" i="1"/>
  <c r="F3887" i="1"/>
  <c r="G3887" i="1"/>
  <c r="H3887" i="1"/>
  <c r="I3887" i="1"/>
  <c r="C3908" i="1"/>
  <c r="D3908" i="1"/>
  <c r="E3908" i="1"/>
  <c r="F3908" i="1"/>
  <c r="G3908" i="1"/>
  <c r="H3908" i="1"/>
  <c r="I3908" i="1"/>
  <c r="C3909" i="1"/>
  <c r="D3909" i="1"/>
  <c r="E3909" i="1"/>
  <c r="F3909" i="1"/>
  <c r="G3909" i="1"/>
  <c r="H3909" i="1"/>
  <c r="I3909" i="1"/>
  <c r="C3910" i="1"/>
  <c r="D3910" i="1"/>
  <c r="E3910" i="1"/>
  <c r="F3910" i="1"/>
  <c r="G3910" i="1"/>
  <c r="H3910" i="1"/>
  <c r="I3910" i="1"/>
  <c r="C3911" i="1"/>
  <c r="D3911" i="1"/>
  <c r="E3911" i="1"/>
  <c r="F3911" i="1"/>
  <c r="G3911" i="1"/>
  <c r="H3911" i="1"/>
  <c r="I3911" i="1"/>
  <c r="C3912" i="1"/>
  <c r="D3912" i="1"/>
  <c r="E3912" i="1"/>
  <c r="F3912" i="1"/>
  <c r="G3912" i="1"/>
  <c r="H3912" i="1"/>
  <c r="I3912" i="1"/>
  <c r="C3913" i="1"/>
  <c r="D3913" i="1"/>
  <c r="E3913" i="1"/>
  <c r="F3913" i="1"/>
  <c r="G3913" i="1"/>
  <c r="H3913" i="1"/>
  <c r="I3913" i="1"/>
  <c r="C3914" i="1"/>
  <c r="D3914" i="1"/>
  <c r="E3914" i="1"/>
  <c r="F3914" i="1"/>
  <c r="G3914" i="1"/>
  <c r="H3914" i="1"/>
  <c r="I3914" i="1"/>
  <c r="C3915" i="1"/>
  <c r="D3915" i="1"/>
  <c r="E3915" i="1"/>
  <c r="F3915" i="1"/>
  <c r="G3915" i="1"/>
  <c r="H3915" i="1"/>
  <c r="I3915" i="1"/>
  <c r="C3916" i="1"/>
  <c r="D3916" i="1"/>
  <c r="E3916" i="1"/>
  <c r="F3916" i="1"/>
  <c r="G3916" i="1"/>
  <c r="H3916" i="1"/>
  <c r="I3916" i="1"/>
  <c r="C3917" i="1"/>
  <c r="D3917" i="1"/>
  <c r="E3917" i="1"/>
  <c r="F3917" i="1"/>
  <c r="G3917" i="1"/>
  <c r="H3917" i="1"/>
  <c r="I3917" i="1"/>
  <c r="C3918" i="1"/>
  <c r="D3918" i="1"/>
  <c r="E3918" i="1"/>
  <c r="F3918" i="1"/>
  <c r="G3918" i="1"/>
  <c r="H3918" i="1"/>
  <c r="I3918" i="1"/>
  <c r="C3919" i="1"/>
  <c r="D3919" i="1"/>
  <c r="E3919" i="1"/>
  <c r="F3919" i="1"/>
  <c r="G3919" i="1"/>
  <c r="H3919" i="1"/>
  <c r="I3919" i="1"/>
  <c r="C3920" i="1"/>
  <c r="D3920" i="1"/>
  <c r="E3920" i="1"/>
  <c r="F3920" i="1"/>
  <c r="G3920" i="1"/>
  <c r="H3920" i="1"/>
  <c r="I3920" i="1"/>
  <c r="C3921" i="1"/>
  <c r="D3921" i="1"/>
  <c r="E3921" i="1"/>
  <c r="F3921" i="1"/>
  <c r="G3921" i="1"/>
  <c r="H3921" i="1"/>
  <c r="I3921" i="1"/>
  <c r="C3922" i="1"/>
  <c r="D3922" i="1"/>
  <c r="E3922" i="1"/>
  <c r="F3922" i="1"/>
  <c r="G3922" i="1"/>
  <c r="H3922" i="1"/>
  <c r="I3922" i="1"/>
  <c r="C3936" i="1"/>
  <c r="D3936" i="1"/>
  <c r="E3936" i="1"/>
  <c r="F3936" i="1"/>
  <c r="G3936" i="1"/>
  <c r="H3936" i="1"/>
  <c r="I3936" i="1"/>
  <c r="C3937" i="1"/>
  <c r="D3937" i="1"/>
  <c r="E3937" i="1"/>
  <c r="F3937" i="1"/>
  <c r="G3937" i="1"/>
  <c r="H3937" i="1"/>
  <c r="I3937" i="1"/>
  <c r="C3938" i="1"/>
  <c r="D3938" i="1"/>
  <c r="E3938" i="1"/>
  <c r="F3938" i="1"/>
  <c r="G3938" i="1"/>
  <c r="H3938" i="1"/>
  <c r="I3938" i="1"/>
  <c r="C3939" i="1"/>
  <c r="D3939" i="1"/>
  <c r="E3939" i="1"/>
  <c r="F3939" i="1"/>
  <c r="G3939" i="1"/>
  <c r="H3939" i="1"/>
  <c r="I3939" i="1"/>
  <c r="C3940" i="1"/>
  <c r="D3940" i="1"/>
  <c r="E3940" i="1"/>
  <c r="F3940" i="1"/>
  <c r="G3940" i="1"/>
  <c r="H3940" i="1"/>
  <c r="I3940" i="1"/>
  <c r="C3941" i="1"/>
  <c r="D3941" i="1"/>
  <c r="E3941" i="1"/>
  <c r="F3941" i="1"/>
  <c r="G3941" i="1"/>
  <c r="H3941" i="1"/>
  <c r="I3941" i="1"/>
  <c r="C3942" i="1"/>
  <c r="D3942" i="1"/>
  <c r="E3942" i="1"/>
  <c r="F3942" i="1"/>
  <c r="G3942" i="1"/>
  <c r="H3942" i="1"/>
  <c r="I3942" i="1"/>
  <c r="C3943" i="1"/>
  <c r="D3943" i="1"/>
  <c r="E3943" i="1"/>
  <c r="F3943" i="1"/>
  <c r="G3943" i="1"/>
  <c r="H3943" i="1"/>
  <c r="I3943" i="1"/>
  <c r="C3944" i="1"/>
  <c r="D3944" i="1"/>
  <c r="E3944" i="1"/>
  <c r="F3944" i="1"/>
  <c r="G3944" i="1"/>
  <c r="H3944" i="1"/>
  <c r="I3944" i="1"/>
  <c r="C3945" i="1"/>
  <c r="D3945" i="1"/>
  <c r="E3945" i="1"/>
  <c r="F3945" i="1"/>
  <c r="G3945" i="1"/>
  <c r="H3945" i="1"/>
  <c r="I3945" i="1"/>
  <c r="C3946" i="1"/>
  <c r="D3946" i="1"/>
  <c r="E3946" i="1"/>
  <c r="F3946" i="1"/>
  <c r="G3946" i="1"/>
  <c r="H3946" i="1"/>
  <c r="I3946" i="1"/>
  <c r="C3947" i="1"/>
  <c r="D3947" i="1"/>
  <c r="E3947" i="1"/>
  <c r="F3947" i="1"/>
  <c r="G3947" i="1"/>
  <c r="H3947" i="1"/>
  <c r="I3947" i="1"/>
  <c r="C3948" i="1"/>
  <c r="D3948" i="1"/>
  <c r="E3948" i="1"/>
  <c r="F3948" i="1"/>
  <c r="G3948" i="1"/>
  <c r="H3948" i="1"/>
  <c r="I3948" i="1"/>
  <c r="C3949" i="1"/>
  <c r="D3949" i="1"/>
  <c r="E3949" i="1"/>
  <c r="F3949" i="1"/>
  <c r="G3949" i="1"/>
  <c r="H3949" i="1"/>
  <c r="I3949" i="1"/>
  <c r="C3950" i="1"/>
  <c r="D3950" i="1"/>
  <c r="E3950" i="1"/>
  <c r="F3950" i="1"/>
  <c r="G3950" i="1"/>
  <c r="H3950" i="1"/>
  <c r="I3950" i="1"/>
  <c r="C3951" i="1"/>
  <c r="D3951" i="1"/>
  <c r="E3951" i="1"/>
  <c r="F3951" i="1"/>
  <c r="G3951" i="1"/>
  <c r="H3951" i="1"/>
  <c r="I3951" i="1"/>
  <c r="C3952" i="1"/>
  <c r="D3952" i="1"/>
  <c r="E3952" i="1"/>
  <c r="F3952" i="1"/>
  <c r="G3952" i="1"/>
  <c r="H3952" i="1"/>
  <c r="I3952" i="1"/>
  <c r="C3953" i="1"/>
  <c r="D3953" i="1"/>
  <c r="E3953" i="1"/>
  <c r="F3953" i="1"/>
  <c r="G3953" i="1"/>
  <c r="H3953" i="1"/>
  <c r="I3953" i="1"/>
  <c r="C3954" i="1"/>
  <c r="D3954" i="1"/>
  <c r="E3954" i="1"/>
  <c r="F3954" i="1"/>
  <c r="G3954" i="1"/>
  <c r="H3954" i="1"/>
  <c r="I3954" i="1"/>
  <c r="C3955" i="1"/>
  <c r="D3955" i="1"/>
  <c r="E3955" i="1"/>
  <c r="F3955" i="1"/>
  <c r="G3955" i="1"/>
  <c r="H3955" i="1"/>
  <c r="I3955" i="1"/>
  <c r="C3974" i="1"/>
  <c r="D3974" i="1"/>
  <c r="E3974" i="1"/>
  <c r="F3974" i="1"/>
  <c r="G3974" i="1"/>
  <c r="H3974" i="1"/>
  <c r="I3974" i="1"/>
  <c r="C3975" i="1"/>
  <c r="D3975" i="1"/>
  <c r="E3975" i="1"/>
  <c r="F3975" i="1"/>
  <c r="G3975" i="1"/>
  <c r="H3975" i="1"/>
  <c r="I3975" i="1"/>
  <c r="C3976" i="1"/>
  <c r="D3976" i="1"/>
  <c r="E3976" i="1"/>
  <c r="F3976" i="1"/>
  <c r="G3976" i="1"/>
  <c r="H3976" i="1"/>
  <c r="I3976" i="1"/>
  <c r="C3977" i="1"/>
  <c r="D3977" i="1"/>
  <c r="E3977" i="1"/>
  <c r="F3977" i="1"/>
  <c r="G3977" i="1"/>
  <c r="H3977" i="1"/>
  <c r="I3977" i="1"/>
  <c r="C3978" i="1"/>
  <c r="D3978" i="1"/>
  <c r="E3978" i="1"/>
  <c r="F3978" i="1"/>
  <c r="G3978" i="1"/>
  <c r="H3978" i="1"/>
  <c r="I3978" i="1"/>
  <c r="C3979" i="1"/>
  <c r="D3979" i="1"/>
  <c r="E3979" i="1"/>
  <c r="F3979" i="1"/>
  <c r="G3979" i="1"/>
  <c r="H3979" i="1"/>
  <c r="I3979" i="1"/>
  <c r="C3980" i="1"/>
  <c r="D3980" i="1"/>
  <c r="E3980" i="1"/>
  <c r="F3980" i="1"/>
  <c r="G3980" i="1"/>
  <c r="H3980" i="1"/>
  <c r="I3980" i="1"/>
  <c r="C3981" i="1"/>
  <c r="D3981" i="1"/>
  <c r="E3981" i="1"/>
  <c r="F3981" i="1"/>
  <c r="G3981" i="1"/>
  <c r="H3981" i="1"/>
  <c r="I3981" i="1"/>
  <c r="C3982" i="1"/>
  <c r="D3982" i="1"/>
  <c r="E3982" i="1"/>
  <c r="F3982" i="1"/>
  <c r="G3982" i="1"/>
  <c r="H3982" i="1"/>
  <c r="I3982" i="1"/>
  <c r="C4003" i="1"/>
  <c r="D4003" i="1"/>
  <c r="E4003" i="1"/>
  <c r="F4003" i="1"/>
  <c r="G4003" i="1"/>
  <c r="H4003" i="1"/>
  <c r="I4003" i="1"/>
  <c r="C3983" i="1"/>
  <c r="D3983" i="1"/>
  <c r="E3983" i="1"/>
  <c r="F3983" i="1"/>
  <c r="G3983" i="1"/>
  <c r="H3983" i="1"/>
  <c r="I3983" i="1"/>
  <c r="C3984" i="1"/>
  <c r="D3984" i="1"/>
  <c r="E3984" i="1"/>
  <c r="F3984" i="1"/>
  <c r="G3984" i="1"/>
  <c r="H3984" i="1"/>
  <c r="I3984" i="1"/>
  <c r="C3985" i="1"/>
  <c r="D3985" i="1"/>
  <c r="E3985" i="1"/>
  <c r="F3985" i="1"/>
  <c r="G3985" i="1"/>
  <c r="H3985" i="1"/>
  <c r="I3985" i="1"/>
  <c r="C3986" i="1"/>
  <c r="D3986" i="1"/>
  <c r="E3986" i="1"/>
  <c r="F3986" i="1"/>
  <c r="G3986" i="1"/>
  <c r="H3986" i="1"/>
  <c r="I3986" i="1"/>
  <c r="C3987" i="1"/>
  <c r="D3987" i="1"/>
  <c r="E3987" i="1"/>
  <c r="F3987" i="1"/>
  <c r="G3987" i="1"/>
  <c r="H3987" i="1"/>
  <c r="I3987" i="1"/>
  <c r="C4005" i="1"/>
  <c r="D4005" i="1"/>
  <c r="E4005" i="1"/>
  <c r="F4005" i="1"/>
  <c r="G4005" i="1"/>
  <c r="H4005" i="1"/>
  <c r="I4005" i="1"/>
  <c r="C4006" i="1"/>
  <c r="D4006" i="1"/>
  <c r="E4006" i="1"/>
  <c r="F4006" i="1"/>
  <c r="G4006" i="1"/>
  <c r="H4006" i="1"/>
  <c r="I4006" i="1"/>
  <c r="C4007" i="1"/>
  <c r="D4007" i="1"/>
  <c r="E4007" i="1"/>
  <c r="F4007" i="1"/>
  <c r="G4007" i="1"/>
  <c r="H4007" i="1"/>
  <c r="I4007" i="1"/>
  <c r="C4008" i="1"/>
  <c r="D4008" i="1"/>
  <c r="E4008" i="1"/>
  <c r="F4008" i="1"/>
  <c r="G4008" i="1"/>
  <c r="H4008" i="1"/>
  <c r="I4008" i="1"/>
  <c r="C4009" i="1"/>
  <c r="D4009" i="1"/>
  <c r="E4009" i="1"/>
  <c r="F4009" i="1"/>
  <c r="G4009" i="1"/>
  <c r="H4009" i="1"/>
  <c r="I4009" i="1"/>
  <c r="C4010" i="1"/>
  <c r="D4010" i="1"/>
  <c r="E4010" i="1"/>
  <c r="F4010" i="1"/>
  <c r="G4010" i="1"/>
  <c r="H4010" i="1"/>
  <c r="I4010" i="1"/>
  <c r="C4011" i="1"/>
  <c r="D4011" i="1"/>
  <c r="E4011" i="1"/>
  <c r="F4011" i="1"/>
  <c r="G4011" i="1"/>
  <c r="H4011" i="1"/>
  <c r="I4011" i="1"/>
  <c r="C4012" i="1"/>
  <c r="D4012" i="1"/>
  <c r="E4012" i="1"/>
  <c r="F4012" i="1"/>
  <c r="G4012" i="1"/>
  <c r="H4012" i="1"/>
  <c r="I4012" i="1"/>
  <c r="C4013" i="1"/>
  <c r="D4013" i="1"/>
  <c r="E4013" i="1"/>
  <c r="F4013" i="1"/>
  <c r="G4013" i="1"/>
  <c r="H4013" i="1"/>
  <c r="I4013" i="1"/>
  <c r="C4014" i="1"/>
  <c r="D4014" i="1"/>
  <c r="E4014" i="1"/>
  <c r="F4014" i="1"/>
  <c r="G4014" i="1"/>
  <c r="H4014" i="1"/>
  <c r="I4014" i="1"/>
  <c r="C4251" i="1"/>
  <c r="D4251" i="1"/>
  <c r="E4251" i="1"/>
  <c r="F4251" i="1"/>
  <c r="G4251" i="1"/>
  <c r="H4251" i="1"/>
  <c r="I4251" i="1"/>
  <c r="C4015" i="1"/>
  <c r="D4015" i="1"/>
  <c r="E4015" i="1"/>
  <c r="F4015" i="1"/>
  <c r="G4015" i="1"/>
  <c r="H4015" i="1"/>
  <c r="I4015" i="1"/>
  <c r="C4016" i="1"/>
  <c r="D4016" i="1"/>
  <c r="E4016" i="1"/>
  <c r="F4016" i="1"/>
  <c r="G4016" i="1"/>
  <c r="H4016" i="1"/>
  <c r="I4016" i="1"/>
  <c r="C4017" i="1"/>
  <c r="D4017" i="1"/>
  <c r="E4017" i="1"/>
  <c r="F4017" i="1"/>
  <c r="G4017" i="1"/>
  <c r="H4017" i="1"/>
  <c r="I4017" i="1"/>
  <c r="C4018" i="1"/>
  <c r="D4018" i="1"/>
  <c r="E4018" i="1"/>
  <c r="F4018" i="1"/>
  <c r="G4018" i="1"/>
  <c r="H4018" i="1"/>
  <c r="I4018" i="1"/>
  <c r="C4019" i="1"/>
  <c r="D4019" i="1"/>
  <c r="E4019" i="1"/>
  <c r="F4019" i="1"/>
  <c r="G4019" i="1"/>
  <c r="H4019" i="1"/>
  <c r="I4019" i="1"/>
  <c r="C4020" i="1"/>
  <c r="D4020" i="1"/>
  <c r="E4020" i="1"/>
  <c r="F4020" i="1"/>
  <c r="G4020" i="1"/>
  <c r="H4020" i="1"/>
  <c r="I4020" i="1"/>
  <c r="C4035" i="1"/>
  <c r="D4035" i="1"/>
  <c r="E4035" i="1"/>
  <c r="F4035" i="1"/>
  <c r="G4035" i="1"/>
  <c r="H4035" i="1"/>
  <c r="I4035" i="1"/>
  <c r="C4036" i="1"/>
  <c r="D4036" i="1"/>
  <c r="E4036" i="1"/>
  <c r="F4036" i="1"/>
  <c r="G4036" i="1"/>
  <c r="H4036" i="1"/>
  <c r="I4036" i="1"/>
  <c r="C4037" i="1"/>
  <c r="D4037" i="1"/>
  <c r="E4037" i="1"/>
  <c r="F4037" i="1"/>
  <c r="G4037" i="1"/>
  <c r="H4037" i="1"/>
  <c r="I4037" i="1"/>
  <c r="C4038" i="1"/>
  <c r="D4038" i="1"/>
  <c r="E4038" i="1"/>
  <c r="F4038" i="1"/>
  <c r="G4038" i="1"/>
  <c r="H4038" i="1"/>
  <c r="I4038" i="1"/>
  <c r="C4039" i="1"/>
  <c r="D4039" i="1"/>
  <c r="E4039" i="1"/>
  <c r="F4039" i="1"/>
  <c r="G4039" i="1"/>
  <c r="H4039" i="1"/>
  <c r="I4039" i="1"/>
  <c r="C4040" i="1"/>
  <c r="D4040" i="1"/>
  <c r="E4040" i="1"/>
  <c r="F4040" i="1"/>
  <c r="G4040" i="1"/>
  <c r="H4040" i="1"/>
  <c r="I4040" i="1"/>
  <c r="C4041" i="1"/>
  <c r="D4041" i="1"/>
  <c r="E4041" i="1"/>
  <c r="F4041" i="1"/>
  <c r="G4041" i="1"/>
  <c r="H4041" i="1"/>
  <c r="I4041" i="1"/>
  <c r="C4042" i="1"/>
  <c r="D4042" i="1"/>
  <c r="E4042" i="1"/>
  <c r="F4042" i="1"/>
  <c r="G4042" i="1"/>
  <c r="H4042" i="1"/>
  <c r="I4042" i="1"/>
  <c r="C4043" i="1"/>
  <c r="D4043" i="1"/>
  <c r="E4043" i="1"/>
  <c r="F4043" i="1"/>
  <c r="G4043" i="1"/>
  <c r="H4043" i="1"/>
  <c r="I4043" i="1"/>
  <c r="C4044" i="1"/>
  <c r="D4044" i="1"/>
  <c r="E4044" i="1"/>
  <c r="F4044" i="1"/>
  <c r="G4044" i="1"/>
  <c r="H4044" i="1"/>
  <c r="I4044" i="1"/>
  <c r="C4045" i="1"/>
  <c r="D4045" i="1"/>
  <c r="E4045" i="1"/>
  <c r="F4045" i="1"/>
  <c r="G4045" i="1"/>
  <c r="H4045" i="1"/>
  <c r="I4045" i="1"/>
  <c r="C4046" i="1"/>
  <c r="D4046" i="1"/>
  <c r="E4046" i="1"/>
  <c r="F4046" i="1"/>
  <c r="G4046" i="1"/>
  <c r="H4046" i="1"/>
  <c r="I4046" i="1"/>
  <c r="C4047" i="1"/>
  <c r="D4047" i="1"/>
  <c r="E4047" i="1"/>
  <c r="F4047" i="1"/>
  <c r="G4047" i="1"/>
  <c r="H4047" i="1"/>
  <c r="I4047" i="1"/>
  <c r="C4048" i="1"/>
  <c r="D4048" i="1"/>
  <c r="E4048" i="1"/>
  <c r="F4048" i="1"/>
  <c r="G4048" i="1"/>
  <c r="H4048" i="1"/>
  <c r="I4048" i="1"/>
  <c r="C4049" i="1"/>
  <c r="D4049" i="1"/>
  <c r="E4049" i="1"/>
  <c r="F4049" i="1"/>
  <c r="G4049" i="1"/>
  <c r="H4049" i="1"/>
  <c r="I4049" i="1"/>
  <c r="C4050" i="1"/>
  <c r="D4050" i="1"/>
  <c r="E4050" i="1"/>
  <c r="F4050" i="1"/>
  <c r="G4050" i="1"/>
  <c r="H4050" i="1"/>
  <c r="I4050" i="1"/>
  <c r="C4051" i="1"/>
  <c r="D4051" i="1"/>
  <c r="E4051" i="1"/>
  <c r="F4051" i="1"/>
  <c r="G4051" i="1"/>
  <c r="H4051" i="1"/>
  <c r="I4051" i="1"/>
  <c r="C4052" i="1"/>
  <c r="D4052" i="1"/>
  <c r="E4052" i="1"/>
  <c r="F4052" i="1"/>
  <c r="G4052" i="1"/>
  <c r="H4052" i="1"/>
  <c r="I4052" i="1"/>
  <c r="C4053" i="1"/>
  <c r="D4053" i="1"/>
  <c r="E4053" i="1"/>
  <c r="F4053" i="1"/>
  <c r="G4053" i="1"/>
  <c r="H4053" i="1"/>
  <c r="I4053" i="1"/>
  <c r="C4054" i="1"/>
  <c r="D4054" i="1"/>
  <c r="E4054" i="1"/>
  <c r="F4054" i="1"/>
  <c r="G4054" i="1"/>
  <c r="H4054" i="1"/>
  <c r="I4054" i="1"/>
  <c r="C4055" i="1"/>
  <c r="D4055" i="1"/>
  <c r="E4055" i="1"/>
  <c r="F4055" i="1"/>
  <c r="G4055" i="1"/>
  <c r="H4055" i="1"/>
  <c r="I4055" i="1"/>
  <c r="C4056" i="1"/>
  <c r="D4056" i="1"/>
  <c r="E4056" i="1"/>
  <c r="F4056" i="1"/>
  <c r="G4056" i="1"/>
  <c r="H4056" i="1"/>
  <c r="I4056" i="1"/>
  <c r="C4064" i="1"/>
  <c r="D4064" i="1"/>
  <c r="E4064" i="1"/>
  <c r="F4064" i="1"/>
  <c r="G4064" i="1"/>
  <c r="H4064" i="1"/>
  <c r="I4064" i="1"/>
  <c r="C4065" i="1"/>
  <c r="D4065" i="1"/>
  <c r="E4065" i="1"/>
  <c r="F4065" i="1"/>
  <c r="G4065" i="1"/>
  <c r="H4065" i="1"/>
  <c r="I4065" i="1"/>
  <c r="C4066" i="1"/>
  <c r="D4066" i="1"/>
  <c r="E4066" i="1"/>
  <c r="F4066" i="1"/>
  <c r="G4066" i="1"/>
  <c r="H4066" i="1"/>
  <c r="I4066" i="1"/>
  <c r="C4067" i="1"/>
  <c r="D4067" i="1"/>
  <c r="E4067" i="1"/>
  <c r="F4067" i="1"/>
  <c r="G4067" i="1"/>
  <c r="H4067" i="1"/>
  <c r="I4067" i="1"/>
  <c r="C4068" i="1"/>
  <c r="D4068" i="1"/>
  <c r="E4068" i="1"/>
  <c r="F4068" i="1"/>
  <c r="G4068" i="1"/>
  <c r="H4068" i="1"/>
  <c r="I4068" i="1"/>
  <c r="C4069" i="1"/>
  <c r="D4069" i="1"/>
  <c r="E4069" i="1"/>
  <c r="F4069" i="1"/>
  <c r="G4069" i="1"/>
  <c r="H4069" i="1"/>
  <c r="I4069" i="1"/>
  <c r="C4070" i="1"/>
  <c r="D4070" i="1"/>
  <c r="E4070" i="1"/>
  <c r="F4070" i="1"/>
  <c r="G4070" i="1"/>
  <c r="H4070" i="1"/>
  <c r="I4070" i="1"/>
  <c r="C4071" i="1"/>
  <c r="D4071" i="1"/>
  <c r="E4071" i="1"/>
  <c r="F4071" i="1"/>
  <c r="G4071" i="1"/>
  <c r="H4071" i="1"/>
  <c r="I4071" i="1"/>
  <c r="C4072" i="1"/>
  <c r="D4072" i="1"/>
  <c r="E4072" i="1"/>
  <c r="F4072" i="1"/>
  <c r="G4072" i="1"/>
  <c r="H4072" i="1"/>
  <c r="I4072" i="1"/>
  <c r="C4073" i="1"/>
  <c r="D4073" i="1"/>
  <c r="E4073" i="1"/>
  <c r="F4073" i="1"/>
  <c r="G4073" i="1"/>
  <c r="H4073" i="1"/>
  <c r="I4073" i="1"/>
  <c r="C4074" i="1"/>
  <c r="D4074" i="1"/>
  <c r="E4074" i="1"/>
  <c r="F4074" i="1"/>
  <c r="G4074" i="1"/>
  <c r="H4074" i="1"/>
  <c r="I4074" i="1"/>
  <c r="C4075" i="1"/>
  <c r="D4075" i="1"/>
  <c r="E4075" i="1"/>
  <c r="F4075" i="1"/>
  <c r="G4075" i="1"/>
  <c r="H4075" i="1"/>
  <c r="I4075" i="1"/>
  <c r="C4076" i="1"/>
  <c r="D4076" i="1"/>
  <c r="E4076" i="1"/>
  <c r="F4076" i="1"/>
  <c r="G4076" i="1"/>
  <c r="H4076" i="1"/>
  <c r="I4076" i="1"/>
  <c r="C4077" i="1"/>
  <c r="D4077" i="1"/>
  <c r="E4077" i="1"/>
  <c r="F4077" i="1"/>
  <c r="G4077" i="1"/>
  <c r="H4077" i="1"/>
  <c r="I4077" i="1"/>
  <c r="C4078" i="1"/>
  <c r="D4078" i="1"/>
  <c r="E4078" i="1"/>
  <c r="F4078" i="1"/>
  <c r="G4078" i="1"/>
  <c r="H4078" i="1"/>
  <c r="I4078" i="1"/>
  <c r="C4079" i="1"/>
  <c r="D4079" i="1"/>
  <c r="E4079" i="1"/>
  <c r="F4079" i="1"/>
  <c r="G4079" i="1"/>
  <c r="H4079" i="1"/>
  <c r="I4079" i="1"/>
  <c r="C4080" i="1"/>
  <c r="D4080" i="1"/>
  <c r="E4080" i="1"/>
  <c r="F4080" i="1"/>
  <c r="G4080" i="1"/>
  <c r="H4080" i="1"/>
  <c r="I4080" i="1"/>
  <c r="C4081" i="1"/>
  <c r="D4081" i="1"/>
  <c r="E4081" i="1"/>
  <c r="F4081" i="1"/>
  <c r="G4081" i="1"/>
  <c r="H4081" i="1"/>
  <c r="I4081" i="1"/>
  <c r="C4082" i="1"/>
  <c r="D4082" i="1"/>
  <c r="E4082" i="1"/>
  <c r="F4082" i="1"/>
  <c r="G4082" i="1"/>
  <c r="H4082" i="1"/>
  <c r="I4082" i="1"/>
  <c r="C4083" i="1"/>
  <c r="D4083" i="1"/>
  <c r="E4083" i="1"/>
  <c r="F4083" i="1"/>
  <c r="G4083" i="1"/>
  <c r="H4083" i="1"/>
  <c r="I4083" i="1"/>
  <c r="C4095" i="1"/>
  <c r="D4095" i="1"/>
  <c r="E4095" i="1"/>
  <c r="F4095" i="1"/>
  <c r="G4095" i="1"/>
  <c r="H4095" i="1"/>
  <c r="I4095" i="1"/>
  <c r="C4096" i="1"/>
  <c r="D4096" i="1"/>
  <c r="E4096" i="1"/>
  <c r="F4096" i="1"/>
  <c r="G4096" i="1"/>
  <c r="H4096" i="1"/>
  <c r="I4096" i="1"/>
  <c r="C4097" i="1"/>
  <c r="D4097" i="1"/>
  <c r="E4097" i="1"/>
  <c r="F4097" i="1"/>
  <c r="G4097" i="1"/>
  <c r="H4097" i="1"/>
  <c r="I4097" i="1"/>
  <c r="C4098" i="1"/>
  <c r="D4098" i="1"/>
  <c r="E4098" i="1"/>
  <c r="F4098" i="1"/>
  <c r="G4098" i="1"/>
  <c r="H4098" i="1"/>
  <c r="I4098" i="1"/>
  <c r="C4099" i="1"/>
  <c r="D4099" i="1"/>
  <c r="E4099" i="1"/>
  <c r="F4099" i="1"/>
  <c r="G4099" i="1"/>
  <c r="H4099" i="1"/>
  <c r="I4099" i="1"/>
  <c r="C4100" i="1"/>
  <c r="D4100" i="1"/>
  <c r="E4100" i="1"/>
  <c r="F4100" i="1"/>
  <c r="G4100" i="1"/>
  <c r="H4100" i="1"/>
  <c r="I4100" i="1"/>
  <c r="C4101" i="1"/>
  <c r="D4101" i="1"/>
  <c r="E4101" i="1"/>
  <c r="F4101" i="1"/>
  <c r="G4101" i="1"/>
  <c r="H4101" i="1"/>
  <c r="I4101" i="1"/>
  <c r="C4102" i="1"/>
  <c r="D4102" i="1"/>
  <c r="E4102" i="1"/>
  <c r="F4102" i="1"/>
  <c r="G4102" i="1"/>
  <c r="H4102" i="1"/>
  <c r="I4102" i="1"/>
  <c r="C4103" i="1"/>
  <c r="D4103" i="1"/>
  <c r="E4103" i="1"/>
  <c r="F4103" i="1"/>
  <c r="G4103" i="1"/>
  <c r="H4103" i="1"/>
  <c r="I4103" i="1"/>
  <c r="C4104" i="1"/>
  <c r="D4104" i="1"/>
  <c r="E4104" i="1"/>
  <c r="F4104" i="1"/>
  <c r="G4104" i="1"/>
  <c r="H4104" i="1"/>
  <c r="I4104" i="1"/>
  <c r="C4105" i="1"/>
  <c r="D4105" i="1"/>
  <c r="E4105" i="1"/>
  <c r="F4105" i="1"/>
  <c r="G4105" i="1"/>
  <c r="H4105" i="1"/>
  <c r="I4105" i="1"/>
  <c r="C4106" i="1"/>
  <c r="D4106" i="1"/>
  <c r="E4106" i="1"/>
  <c r="F4106" i="1"/>
  <c r="G4106" i="1"/>
  <c r="H4106" i="1"/>
  <c r="I4106" i="1"/>
  <c r="C1655" i="1"/>
  <c r="D1655" i="1"/>
  <c r="E1655" i="1"/>
  <c r="F1655" i="1"/>
  <c r="G1655" i="1"/>
  <c r="H1655" i="1"/>
  <c r="I1655" i="1"/>
  <c r="C4113" i="1"/>
  <c r="D4113" i="1"/>
  <c r="E4113" i="1"/>
  <c r="F4113" i="1"/>
  <c r="G4113" i="1"/>
  <c r="H4113" i="1"/>
  <c r="I4113" i="1"/>
  <c r="C4114" i="1"/>
  <c r="D4114" i="1"/>
  <c r="E4114" i="1"/>
  <c r="F4114" i="1"/>
  <c r="G4114" i="1"/>
  <c r="H4114" i="1"/>
  <c r="I4114" i="1"/>
  <c r="C4115" i="1"/>
  <c r="D4115" i="1"/>
  <c r="E4115" i="1"/>
  <c r="F4115" i="1"/>
  <c r="G4115" i="1"/>
  <c r="H4115" i="1"/>
  <c r="I4115" i="1"/>
  <c r="C4116" i="1"/>
  <c r="D4116" i="1"/>
  <c r="E4116" i="1"/>
  <c r="F4116" i="1"/>
  <c r="G4116" i="1"/>
  <c r="H4116" i="1"/>
  <c r="I4116" i="1"/>
  <c r="C4117" i="1"/>
  <c r="D4117" i="1"/>
  <c r="E4117" i="1"/>
  <c r="F4117" i="1"/>
  <c r="G4117" i="1"/>
  <c r="H4117" i="1"/>
  <c r="I4117" i="1"/>
  <c r="C4118" i="1"/>
  <c r="D4118" i="1"/>
  <c r="E4118" i="1"/>
  <c r="F4118" i="1"/>
  <c r="G4118" i="1"/>
  <c r="H4118" i="1"/>
  <c r="I4118" i="1"/>
  <c r="C4119" i="1"/>
  <c r="D4119" i="1"/>
  <c r="E4119" i="1"/>
  <c r="F4119" i="1"/>
  <c r="G4119" i="1"/>
  <c r="H4119" i="1"/>
  <c r="I4119" i="1"/>
  <c r="C4122" i="1"/>
  <c r="D4122" i="1"/>
  <c r="E4122" i="1"/>
  <c r="F4122" i="1"/>
  <c r="G4122" i="1"/>
  <c r="H4122" i="1"/>
  <c r="I4122" i="1"/>
  <c r="C4123" i="1"/>
  <c r="D4123" i="1"/>
  <c r="E4123" i="1"/>
  <c r="F4123" i="1"/>
  <c r="G4123" i="1"/>
  <c r="H4123" i="1"/>
  <c r="I4123" i="1"/>
  <c r="C4124" i="1"/>
  <c r="D4124" i="1"/>
  <c r="E4124" i="1"/>
  <c r="F4124" i="1"/>
  <c r="G4124" i="1"/>
  <c r="H4124" i="1"/>
  <c r="I4124" i="1"/>
  <c r="C4125" i="1"/>
  <c r="D4125" i="1"/>
  <c r="E4125" i="1"/>
  <c r="F4125" i="1"/>
  <c r="G4125" i="1"/>
  <c r="H4125" i="1"/>
  <c r="I4125" i="1"/>
  <c r="C4126" i="1"/>
  <c r="D4126" i="1"/>
  <c r="E4126" i="1"/>
  <c r="F4126" i="1"/>
  <c r="G4126" i="1"/>
  <c r="H4126" i="1"/>
  <c r="I4126" i="1"/>
  <c r="C4127" i="1"/>
  <c r="D4127" i="1"/>
  <c r="E4127" i="1"/>
  <c r="F4127" i="1"/>
  <c r="G4127" i="1"/>
  <c r="H4127" i="1"/>
  <c r="I4127" i="1"/>
  <c r="C4128" i="1"/>
  <c r="D4128" i="1"/>
  <c r="E4128" i="1"/>
  <c r="F4128" i="1"/>
  <c r="G4128" i="1"/>
  <c r="H4128" i="1"/>
  <c r="I4128" i="1"/>
  <c r="C4129" i="1"/>
  <c r="D4129" i="1"/>
  <c r="E4129" i="1"/>
  <c r="F4129" i="1"/>
  <c r="G4129" i="1"/>
  <c r="H4129" i="1"/>
  <c r="I4129" i="1"/>
  <c r="C4138" i="1"/>
  <c r="D4138" i="1"/>
  <c r="E4138" i="1"/>
  <c r="F4138" i="1"/>
  <c r="G4138" i="1"/>
  <c r="H4138" i="1"/>
  <c r="I4138" i="1"/>
  <c r="C4139" i="1"/>
  <c r="D4139" i="1"/>
  <c r="E4139" i="1"/>
  <c r="F4139" i="1"/>
  <c r="G4139" i="1"/>
  <c r="H4139" i="1"/>
  <c r="I4139" i="1"/>
  <c r="C827" i="1"/>
  <c r="D827" i="1"/>
  <c r="E827" i="1"/>
  <c r="F827" i="1"/>
  <c r="G827" i="1"/>
  <c r="H827" i="1"/>
  <c r="I827" i="1"/>
  <c r="C4140" i="1"/>
  <c r="D4140" i="1"/>
  <c r="E4140" i="1"/>
  <c r="F4140" i="1"/>
  <c r="G4140" i="1"/>
  <c r="H4140" i="1"/>
  <c r="I4140" i="1"/>
  <c r="C4141" i="1"/>
  <c r="D4141" i="1"/>
  <c r="E4141" i="1"/>
  <c r="F4141" i="1"/>
  <c r="G4141" i="1"/>
  <c r="H4141" i="1"/>
  <c r="I4141" i="1"/>
  <c r="C4142" i="1"/>
  <c r="D4142" i="1"/>
  <c r="E4142" i="1"/>
  <c r="F4142" i="1"/>
  <c r="G4142" i="1"/>
  <c r="H4142" i="1"/>
  <c r="I4142" i="1"/>
  <c r="C4143" i="1"/>
  <c r="D4143" i="1"/>
  <c r="E4143" i="1"/>
  <c r="F4143" i="1"/>
  <c r="G4143" i="1"/>
  <c r="H4143" i="1"/>
  <c r="I4143" i="1"/>
  <c r="C4144" i="1"/>
  <c r="D4144" i="1"/>
  <c r="E4144" i="1"/>
  <c r="F4144" i="1"/>
  <c r="G4144" i="1"/>
  <c r="H4144" i="1"/>
  <c r="I4144" i="1"/>
  <c r="C4145" i="1"/>
  <c r="D4145" i="1"/>
  <c r="E4145" i="1"/>
  <c r="F4145" i="1"/>
  <c r="G4145" i="1"/>
  <c r="H4145" i="1"/>
  <c r="I4145" i="1"/>
  <c r="C4146" i="1"/>
  <c r="D4146" i="1"/>
  <c r="E4146" i="1"/>
  <c r="F4146" i="1"/>
  <c r="G4146" i="1"/>
  <c r="H4146" i="1"/>
  <c r="I4146" i="1"/>
  <c r="C4147" i="1"/>
  <c r="D4147" i="1"/>
  <c r="E4147" i="1"/>
  <c r="F4147" i="1"/>
  <c r="G4147" i="1"/>
  <c r="H4147" i="1"/>
  <c r="I4147" i="1"/>
  <c r="C4148" i="1"/>
  <c r="D4148" i="1"/>
  <c r="E4148" i="1"/>
  <c r="F4148" i="1"/>
  <c r="G4148" i="1"/>
  <c r="H4148" i="1"/>
  <c r="I4148" i="1"/>
  <c r="C4149" i="1"/>
  <c r="D4149" i="1"/>
  <c r="E4149" i="1"/>
  <c r="F4149" i="1"/>
  <c r="G4149" i="1"/>
  <c r="H4149" i="1"/>
  <c r="I4149" i="1"/>
  <c r="C4150" i="1"/>
  <c r="D4150" i="1"/>
  <c r="E4150" i="1"/>
  <c r="F4150" i="1"/>
  <c r="G4150" i="1"/>
  <c r="H4150" i="1"/>
  <c r="I4150" i="1"/>
  <c r="C4155" i="1"/>
  <c r="D4155" i="1"/>
  <c r="E4155" i="1"/>
  <c r="F4155" i="1"/>
  <c r="G4155" i="1"/>
  <c r="H4155" i="1"/>
  <c r="I4155" i="1"/>
  <c r="C4156" i="1"/>
  <c r="D4156" i="1"/>
  <c r="E4156" i="1"/>
  <c r="F4156" i="1"/>
  <c r="G4156" i="1"/>
  <c r="H4156" i="1"/>
  <c r="I4156" i="1"/>
  <c r="C4157" i="1"/>
  <c r="D4157" i="1"/>
  <c r="E4157" i="1"/>
  <c r="F4157" i="1"/>
  <c r="G4157" i="1"/>
  <c r="H4157" i="1"/>
  <c r="I4157" i="1"/>
  <c r="C4158" i="1"/>
  <c r="D4158" i="1"/>
  <c r="E4158" i="1"/>
  <c r="F4158" i="1"/>
  <c r="G4158" i="1"/>
  <c r="H4158" i="1"/>
  <c r="I4158" i="1"/>
  <c r="C4159" i="1"/>
  <c r="D4159" i="1"/>
  <c r="E4159" i="1"/>
  <c r="F4159" i="1"/>
  <c r="G4159" i="1"/>
  <c r="H4159" i="1"/>
  <c r="I4159" i="1"/>
  <c r="C4164" i="1"/>
  <c r="D4164" i="1"/>
  <c r="E4164" i="1"/>
  <c r="F4164" i="1"/>
  <c r="G4164" i="1"/>
  <c r="H4164" i="1"/>
  <c r="I4164" i="1"/>
  <c r="C4165" i="1"/>
  <c r="D4165" i="1"/>
  <c r="E4165" i="1"/>
  <c r="F4165" i="1"/>
  <c r="G4165" i="1"/>
  <c r="H4165" i="1"/>
  <c r="I4165" i="1"/>
  <c r="C4166" i="1"/>
  <c r="D4166" i="1"/>
  <c r="E4166" i="1"/>
  <c r="F4166" i="1"/>
  <c r="G4166" i="1"/>
  <c r="H4166" i="1"/>
  <c r="I4166" i="1"/>
  <c r="C4167" i="1"/>
  <c r="D4167" i="1"/>
  <c r="E4167" i="1"/>
  <c r="F4167" i="1"/>
  <c r="G4167" i="1"/>
  <c r="H4167" i="1"/>
  <c r="I4167" i="1"/>
  <c r="C4168" i="1"/>
  <c r="D4168" i="1"/>
  <c r="E4168" i="1"/>
  <c r="F4168" i="1"/>
  <c r="G4168" i="1"/>
  <c r="H4168" i="1"/>
  <c r="I4168" i="1"/>
  <c r="C4169" i="1"/>
  <c r="D4169" i="1"/>
  <c r="E4169" i="1"/>
  <c r="F4169" i="1"/>
  <c r="G4169" i="1"/>
  <c r="H4169" i="1"/>
  <c r="I4169" i="1"/>
  <c r="C4175" i="1"/>
  <c r="D4175" i="1"/>
  <c r="E4175" i="1"/>
  <c r="F4175" i="1"/>
  <c r="G4175" i="1"/>
  <c r="H4175" i="1"/>
  <c r="I4175" i="1"/>
  <c r="C4176" i="1"/>
  <c r="D4176" i="1"/>
  <c r="E4176" i="1"/>
  <c r="F4176" i="1"/>
  <c r="G4176" i="1"/>
  <c r="H4176" i="1"/>
  <c r="I4176" i="1"/>
  <c r="C4181" i="1"/>
  <c r="D4181" i="1"/>
  <c r="E4181" i="1"/>
  <c r="F4181" i="1"/>
  <c r="G4181" i="1"/>
  <c r="H4181" i="1"/>
  <c r="I4181" i="1"/>
  <c r="C4182" i="1"/>
  <c r="D4182" i="1"/>
  <c r="E4182" i="1"/>
  <c r="F4182" i="1"/>
  <c r="G4182" i="1"/>
  <c r="H4182" i="1"/>
  <c r="I4182" i="1"/>
  <c r="C4187" i="1"/>
  <c r="D4187" i="1"/>
  <c r="E4187" i="1"/>
  <c r="F4187" i="1"/>
  <c r="G4187" i="1"/>
  <c r="H4187" i="1"/>
  <c r="I4187" i="1"/>
  <c r="C4186" i="1"/>
  <c r="D4186" i="1"/>
  <c r="E4186" i="1"/>
  <c r="F4186" i="1"/>
  <c r="G4186" i="1"/>
  <c r="H4186" i="1"/>
  <c r="I4186" i="1"/>
  <c r="C4183" i="1"/>
  <c r="D4183" i="1"/>
  <c r="E4183" i="1"/>
  <c r="F4183" i="1"/>
  <c r="G4183" i="1"/>
  <c r="H4183" i="1"/>
  <c r="I4183" i="1"/>
  <c r="C4188" i="1"/>
  <c r="D4188" i="1"/>
  <c r="E4188" i="1"/>
  <c r="F4188" i="1"/>
  <c r="G4188" i="1"/>
  <c r="H4188" i="1"/>
  <c r="I4188" i="1"/>
  <c r="C4189" i="1"/>
  <c r="D4189" i="1"/>
  <c r="E4189" i="1"/>
  <c r="F4189" i="1"/>
  <c r="G4189" i="1"/>
  <c r="H4189" i="1"/>
  <c r="I4189" i="1"/>
  <c r="C4190" i="1"/>
  <c r="D4190" i="1"/>
  <c r="E4190" i="1"/>
  <c r="F4190" i="1"/>
  <c r="G4190" i="1"/>
  <c r="H4190" i="1"/>
  <c r="I4190" i="1"/>
  <c r="C4191" i="1"/>
  <c r="D4191" i="1"/>
  <c r="E4191" i="1"/>
  <c r="F4191" i="1"/>
  <c r="G4191" i="1"/>
  <c r="H4191" i="1"/>
  <c r="I4191" i="1"/>
  <c r="C4192" i="1"/>
  <c r="D4192" i="1"/>
  <c r="E4192" i="1"/>
  <c r="F4192" i="1"/>
  <c r="G4192" i="1"/>
  <c r="H4192" i="1"/>
  <c r="I4192" i="1"/>
  <c r="C4195" i="1"/>
  <c r="D4195" i="1"/>
  <c r="E4195" i="1"/>
  <c r="F4195" i="1"/>
  <c r="G4195" i="1"/>
  <c r="H4195" i="1"/>
  <c r="I4195" i="1"/>
  <c r="C4200" i="1"/>
  <c r="D4200" i="1"/>
  <c r="E4200" i="1"/>
  <c r="F4200" i="1"/>
  <c r="G4200" i="1"/>
  <c r="H4200" i="1"/>
  <c r="I4200" i="1"/>
  <c r="C4201" i="1"/>
  <c r="D4201" i="1"/>
  <c r="E4201" i="1"/>
  <c r="F4201" i="1"/>
  <c r="G4201" i="1"/>
  <c r="H4201" i="1"/>
  <c r="I4201" i="1"/>
  <c r="C4202" i="1"/>
  <c r="D4202" i="1"/>
  <c r="E4202" i="1"/>
  <c r="F4202" i="1"/>
  <c r="G4202" i="1"/>
  <c r="H4202" i="1"/>
  <c r="I4202" i="1"/>
  <c r="C4203" i="1"/>
  <c r="D4203" i="1"/>
  <c r="E4203" i="1"/>
  <c r="F4203" i="1"/>
  <c r="G4203" i="1"/>
  <c r="H4203" i="1"/>
  <c r="I4203" i="1"/>
  <c r="C4206" i="1"/>
  <c r="D4206" i="1"/>
  <c r="E4206" i="1"/>
  <c r="F4206" i="1"/>
  <c r="G4206" i="1"/>
  <c r="H4206" i="1"/>
  <c r="I4206" i="1"/>
  <c r="C4207" i="1"/>
  <c r="D4207" i="1"/>
  <c r="E4207" i="1"/>
  <c r="F4207" i="1"/>
  <c r="G4207" i="1"/>
  <c r="H4207" i="1"/>
  <c r="I4207" i="1"/>
  <c r="C4208" i="1"/>
  <c r="D4208" i="1"/>
  <c r="E4208" i="1"/>
  <c r="F4208" i="1"/>
  <c r="G4208" i="1"/>
  <c r="H4208" i="1"/>
  <c r="I4208" i="1"/>
  <c r="C4210" i="1"/>
  <c r="D4210" i="1"/>
  <c r="E4210" i="1"/>
  <c r="F4210" i="1"/>
  <c r="G4210" i="1"/>
  <c r="H4210" i="1"/>
  <c r="I4210" i="1"/>
  <c r="C4211" i="1"/>
  <c r="D4211" i="1"/>
  <c r="E4211" i="1"/>
  <c r="F4211" i="1"/>
  <c r="G4211" i="1"/>
  <c r="H4211" i="1"/>
  <c r="I4211" i="1"/>
  <c r="C4212" i="1"/>
  <c r="D4212" i="1"/>
  <c r="E4212" i="1"/>
  <c r="F4212" i="1"/>
  <c r="G4212" i="1"/>
  <c r="H4212" i="1"/>
  <c r="I4212" i="1"/>
  <c r="C4213" i="1"/>
  <c r="D4213" i="1"/>
  <c r="E4213" i="1"/>
  <c r="F4213" i="1"/>
  <c r="G4213" i="1"/>
  <c r="H4213" i="1"/>
  <c r="I4213" i="1"/>
  <c r="C4216" i="1"/>
  <c r="D4216" i="1"/>
  <c r="E4216" i="1"/>
  <c r="F4216" i="1"/>
  <c r="G4216" i="1"/>
  <c r="H4216" i="1"/>
  <c r="I4216" i="1"/>
  <c r="C4218" i="1"/>
  <c r="D4218" i="1"/>
  <c r="E4218" i="1"/>
  <c r="F4218" i="1"/>
  <c r="G4218" i="1"/>
  <c r="H4218" i="1"/>
  <c r="I4218" i="1"/>
  <c r="C4219" i="1"/>
  <c r="D4219" i="1"/>
  <c r="E4219" i="1"/>
  <c r="F4219" i="1"/>
  <c r="G4219" i="1"/>
  <c r="H4219" i="1"/>
  <c r="I4219" i="1"/>
  <c r="C4220" i="1"/>
  <c r="D4220" i="1"/>
  <c r="E4220" i="1"/>
  <c r="F4220" i="1"/>
  <c r="G4220" i="1"/>
  <c r="H4220" i="1"/>
  <c r="I4220" i="1"/>
  <c r="C4221" i="1"/>
  <c r="D4221" i="1"/>
  <c r="E4221" i="1"/>
  <c r="F4221" i="1"/>
  <c r="G4221" i="1"/>
  <c r="H4221" i="1"/>
  <c r="I4221" i="1"/>
  <c r="C4223" i="1"/>
  <c r="D4223" i="1"/>
  <c r="E4223" i="1"/>
  <c r="F4223" i="1"/>
  <c r="G4223" i="1"/>
  <c r="H4223" i="1"/>
  <c r="I4223" i="1"/>
  <c r="C4225" i="1"/>
  <c r="D4225" i="1"/>
  <c r="E4225" i="1"/>
  <c r="F4225" i="1"/>
  <c r="G4225" i="1"/>
  <c r="H4225" i="1"/>
  <c r="I4225" i="1"/>
  <c r="C115" i="1"/>
  <c r="D115" i="1"/>
  <c r="E115" i="1"/>
  <c r="F115" i="1"/>
  <c r="G115" i="1"/>
  <c r="H115" i="1"/>
  <c r="I115" i="1"/>
  <c r="C163" i="1"/>
  <c r="D163" i="1"/>
  <c r="E163" i="1"/>
  <c r="F163" i="1"/>
  <c r="G163" i="1"/>
  <c r="H163" i="1"/>
  <c r="I163" i="1"/>
  <c r="C260" i="1"/>
  <c r="D260" i="1"/>
  <c r="E260" i="1"/>
  <c r="F260" i="1"/>
  <c r="G260" i="1"/>
  <c r="H260" i="1"/>
  <c r="I260" i="1"/>
  <c r="C261" i="1"/>
  <c r="D261" i="1"/>
  <c r="E261" i="1"/>
  <c r="F261" i="1"/>
  <c r="G261" i="1"/>
  <c r="H261" i="1"/>
  <c r="I261" i="1"/>
  <c r="C302" i="1"/>
  <c r="D302" i="1"/>
  <c r="E302" i="1"/>
  <c r="F302" i="1"/>
  <c r="G302" i="1"/>
  <c r="H302" i="1"/>
  <c r="I302" i="1"/>
  <c r="C447" i="1"/>
  <c r="D447" i="1"/>
  <c r="E447" i="1"/>
  <c r="F447" i="1"/>
  <c r="G447" i="1"/>
  <c r="H447" i="1"/>
  <c r="I447" i="1"/>
  <c r="C448" i="1"/>
  <c r="D448" i="1"/>
  <c r="E448" i="1"/>
  <c r="F448" i="1"/>
  <c r="G448" i="1"/>
  <c r="H448" i="1"/>
  <c r="I448" i="1"/>
  <c r="C556" i="1"/>
  <c r="D556" i="1"/>
  <c r="E556" i="1"/>
  <c r="F556" i="1"/>
  <c r="G556" i="1"/>
  <c r="H556" i="1"/>
  <c r="I556" i="1"/>
  <c r="C557" i="1"/>
  <c r="D557" i="1"/>
  <c r="E557" i="1"/>
  <c r="F557" i="1"/>
  <c r="G557" i="1"/>
  <c r="H557" i="1"/>
  <c r="I557" i="1"/>
  <c r="C799" i="1"/>
  <c r="D799" i="1"/>
  <c r="E799" i="1"/>
  <c r="F799" i="1"/>
  <c r="G799" i="1"/>
  <c r="H799" i="1"/>
  <c r="I799" i="1"/>
  <c r="C918" i="1"/>
  <c r="D918" i="1"/>
  <c r="E918" i="1"/>
  <c r="F918" i="1"/>
  <c r="G918" i="1"/>
  <c r="H918" i="1"/>
  <c r="I918" i="1"/>
  <c r="C919" i="1"/>
  <c r="D919" i="1"/>
  <c r="E919" i="1"/>
  <c r="F919" i="1"/>
  <c r="G919" i="1"/>
  <c r="H919" i="1"/>
  <c r="I919" i="1"/>
  <c r="C4196" i="1"/>
  <c r="D4196" i="1"/>
  <c r="E4196" i="1"/>
  <c r="F4196" i="1"/>
  <c r="G4196" i="1"/>
  <c r="H4196" i="1"/>
  <c r="I4196" i="1"/>
  <c r="C920" i="1"/>
  <c r="D920" i="1"/>
  <c r="E920" i="1"/>
  <c r="F920" i="1"/>
  <c r="G920" i="1"/>
  <c r="H920" i="1"/>
  <c r="I920" i="1"/>
  <c r="C921" i="1"/>
  <c r="D921" i="1"/>
  <c r="E921" i="1"/>
  <c r="F921" i="1"/>
  <c r="G921" i="1"/>
  <c r="H921" i="1"/>
  <c r="I921" i="1"/>
  <c r="C1056" i="1"/>
  <c r="D1056" i="1"/>
  <c r="E1056" i="1"/>
  <c r="F1056" i="1"/>
  <c r="G1056" i="1"/>
  <c r="H1056" i="1"/>
  <c r="I1056" i="1"/>
  <c r="C1057" i="1"/>
  <c r="D1057" i="1"/>
  <c r="E1057" i="1"/>
  <c r="F1057" i="1"/>
  <c r="G1057" i="1"/>
  <c r="H1057" i="1"/>
  <c r="I1057" i="1"/>
  <c r="C1197" i="1"/>
  <c r="D1197" i="1"/>
  <c r="E1197" i="1"/>
  <c r="F1197" i="1"/>
  <c r="G1197" i="1"/>
  <c r="H1197" i="1"/>
  <c r="I1197" i="1"/>
  <c r="C1198" i="1"/>
  <c r="D1198" i="1"/>
  <c r="E1198" i="1"/>
  <c r="F1198" i="1"/>
  <c r="G1198" i="1"/>
  <c r="H1198" i="1"/>
  <c r="I1198" i="1"/>
  <c r="C1330" i="1"/>
  <c r="D1330" i="1"/>
  <c r="E1330" i="1"/>
  <c r="F1330" i="1"/>
  <c r="G1330" i="1"/>
  <c r="H1330" i="1"/>
  <c r="I1330" i="1"/>
  <c r="C1331" i="1"/>
  <c r="D1331" i="1"/>
  <c r="E1331" i="1"/>
  <c r="F1331" i="1"/>
  <c r="G1331" i="1"/>
  <c r="H1331" i="1"/>
  <c r="I1331" i="1"/>
  <c r="C1332" i="1"/>
  <c r="D1332" i="1"/>
  <c r="E1332" i="1"/>
  <c r="F1332" i="1"/>
  <c r="G1332" i="1"/>
  <c r="H1332" i="1"/>
  <c r="I1332" i="1"/>
  <c r="C1333" i="1"/>
  <c r="D1333" i="1"/>
  <c r="E1333" i="1"/>
  <c r="F1333" i="1"/>
  <c r="G1333" i="1"/>
  <c r="H1333" i="1"/>
  <c r="I1333" i="1"/>
  <c r="C1334" i="1"/>
  <c r="D1334" i="1"/>
  <c r="E1334" i="1"/>
  <c r="F1334" i="1"/>
  <c r="G1334" i="1"/>
  <c r="H1334" i="1"/>
  <c r="I1334" i="1"/>
  <c r="C1335" i="1"/>
  <c r="D1335" i="1"/>
  <c r="E1335" i="1"/>
  <c r="F1335" i="1"/>
  <c r="G1335" i="1"/>
  <c r="H1335" i="1"/>
  <c r="I1335" i="1"/>
  <c r="C1336" i="1"/>
  <c r="D1336" i="1"/>
  <c r="E1336" i="1"/>
  <c r="F1336" i="1"/>
  <c r="G1336" i="1"/>
  <c r="H1336" i="1"/>
  <c r="I1336" i="1"/>
  <c r="C1337" i="1"/>
  <c r="D1337" i="1"/>
  <c r="E1337" i="1"/>
  <c r="F1337" i="1"/>
  <c r="G1337" i="1"/>
  <c r="H1337" i="1"/>
  <c r="I1337" i="1"/>
  <c r="C1464" i="1"/>
  <c r="D1464" i="1"/>
  <c r="E1464" i="1"/>
  <c r="F1464" i="1"/>
  <c r="G1464" i="1"/>
  <c r="H1464" i="1"/>
  <c r="I1464" i="1"/>
  <c r="C1465" i="1"/>
  <c r="D1465" i="1"/>
  <c r="E1465" i="1"/>
  <c r="F1465" i="1"/>
  <c r="G1465" i="1"/>
  <c r="H1465" i="1"/>
  <c r="I1465" i="1"/>
  <c r="C1466" i="1"/>
  <c r="D1466" i="1"/>
  <c r="E1466" i="1"/>
  <c r="F1466" i="1"/>
  <c r="G1466" i="1"/>
  <c r="H1466" i="1"/>
  <c r="I1466" i="1"/>
  <c r="C1467" i="1"/>
  <c r="D1467" i="1"/>
  <c r="E1467" i="1"/>
  <c r="F1467" i="1"/>
  <c r="G1467" i="1"/>
  <c r="H1467" i="1"/>
  <c r="I1467" i="1"/>
  <c r="C1468" i="1"/>
  <c r="D1468" i="1"/>
  <c r="E1468" i="1"/>
  <c r="F1468" i="1"/>
  <c r="G1468" i="1"/>
  <c r="H1468" i="1"/>
  <c r="I1468" i="1"/>
  <c r="C1590" i="1"/>
  <c r="D1590" i="1"/>
  <c r="E1590" i="1"/>
  <c r="F1590" i="1"/>
  <c r="G1590" i="1"/>
  <c r="H1590" i="1"/>
  <c r="I1590" i="1"/>
  <c r="C1591" i="1"/>
  <c r="D1591" i="1"/>
  <c r="E1591" i="1"/>
  <c r="F1591" i="1"/>
  <c r="G1591" i="1"/>
  <c r="H1591" i="1"/>
  <c r="I1591" i="1"/>
  <c r="C1592" i="1"/>
  <c r="D1592" i="1"/>
  <c r="E1592" i="1"/>
  <c r="F1592" i="1"/>
  <c r="G1592" i="1"/>
  <c r="H1592" i="1"/>
  <c r="I1592" i="1"/>
  <c r="C1593" i="1"/>
  <c r="D1593" i="1"/>
  <c r="E1593" i="1"/>
  <c r="F1593" i="1"/>
  <c r="G1593" i="1"/>
  <c r="H1593" i="1"/>
  <c r="I1593" i="1"/>
  <c r="C1594" i="1"/>
  <c r="D1594" i="1"/>
  <c r="E1594" i="1"/>
  <c r="F1594" i="1"/>
  <c r="G1594" i="1"/>
  <c r="H1594" i="1"/>
  <c r="I1594" i="1"/>
  <c r="C1595" i="1"/>
  <c r="D1595" i="1"/>
  <c r="E1595" i="1"/>
  <c r="F1595" i="1"/>
  <c r="G1595" i="1"/>
  <c r="H1595" i="1"/>
  <c r="I1595" i="1"/>
  <c r="C1748" i="1"/>
  <c r="D1748" i="1"/>
  <c r="F1748" i="1"/>
  <c r="G1748" i="1"/>
  <c r="H1748" i="1"/>
  <c r="I1748" i="1"/>
  <c r="C1749" i="1"/>
  <c r="D1749" i="1"/>
  <c r="E1749" i="1"/>
  <c r="F1749" i="1"/>
  <c r="G1749" i="1"/>
  <c r="H1749" i="1"/>
  <c r="I1749" i="1"/>
  <c r="C1880" i="1"/>
  <c r="D1880" i="1"/>
  <c r="E1880" i="1"/>
  <c r="F1880" i="1"/>
  <c r="G1880" i="1"/>
  <c r="H1880" i="1"/>
  <c r="I1880" i="1"/>
  <c r="C1881" i="1"/>
  <c r="D1881" i="1"/>
  <c r="E1881" i="1"/>
  <c r="F1881" i="1"/>
  <c r="G1881" i="1"/>
  <c r="H1881" i="1"/>
  <c r="I1881" i="1"/>
  <c r="C1882" i="1"/>
  <c r="D1882" i="1"/>
  <c r="E1882" i="1"/>
  <c r="F1882" i="1"/>
  <c r="G1882" i="1"/>
  <c r="H1882" i="1"/>
  <c r="I1882" i="1"/>
  <c r="C1883" i="1"/>
  <c r="D1883" i="1"/>
  <c r="E1883" i="1"/>
  <c r="F1883" i="1"/>
  <c r="G1883" i="1"/>
  <c r="H1883" i="1"/>
  <c r="I1883" i="1"/>
  <c r="C1884" i="1"/>
  <c r="D1884" i="1"/>
  <c r="E1884" i="1"/>
  <c r="F1884" i="1"/>
  <c r="G1884" i="1"/>
  <c r="H1884" i="1"/>
  <c r="I1884" i="1"/>
  <c r="C1885" i="1"/>
  <c r="D1885" i="1"/>
  <c r="E1885" i="1"/>
  <c r="F1885" i="1"/>
  <c r="G1885" i="1"/>
  <c r="H1885" i="1"/>
  <c r="I1885" i="1"/>
  <c r="C1886" i="1"/>
  <c r="D1886" i="1"/>
  <c r="E1886" i="1"/>
  <c r="F1886" i="1"/>
  <c r="G1886" i="1"/>
  <c r="H1886" i="1"/>
  <c r="I1886" i="1"/>
  <c r="C1887" i="1"/>
  <c r="D1887" i="1"/>
  <c r="E1887" i="1"/>
  <c r="F1887" i="1"/>
  <c r="G1887" i="1"/>
  <c r="H1887" i="1"/>
  <c r="I1887" i="1"/>
  <c r="C2022" i="1"/>
  <c r="D2022" i="1"/>
  <c r="E2022" i="1"/>
  <c r="F2022" i="1"/>
  <c r="G2022" i="1"/>
  <c r="H2022" i="1"/>
  <c r="I2022" i="1"/>
  <c r="C2023" i="1"/>
  <c r="D2023" i="1"/>
  <c r="E2023" i="1"/>
  <c r="F2023" i="1"/>
  <c r="G2023" i="1"/>
  <c r="H2023" i="1"/>
  <c r="I2023" i="1"/>
  <c r="C2024" i="1"/>
  <c r="D2024" i="1"/>
  <c r="E2024" i="1"/>
  <c r="F2024" i="1"/>
  <c r="G2024" i="1"/>
  <c r="H2024" i="1"/>
  <c r="I2024" i="1"/>
  <c r="C2137" i="1"/>
  <c r="D2137" i="1"/>
  <c r="E2137" i="1"/>
  <c r="F2137" i="1"/>
  <c r="G2137" i="1"/>
  <c r="H2137" i="1"/>
  <c r="I2137" i="1"/>
  <c r="C2138" i="1"/>
  <c r="D2138" i="1"/>
  <c r="E2138" i="1"/>
  <c r="F2138" i="1"/>
  <c r="G2138" i="1"/>
  <c r="H2138" i="1"/>
  <c r="I2138" i="1"/>
  <c r="C3470" i="1"/>
  <c r="D3470" i="1"/>
  <c r="E3470" i="1"/>
  <c r="F3470" i="1"/>
  <c r="G3470" i="1"/>
  <c r="H3470" i="1"/>
  <c r="I3470" i="1"/>
  <c r="C2278" i="1"/>
  <c r="D2278" i="1"/>
  <c r="E2278" i="1"/>
  <c r="F2278" i="1"/>
  <c r="G2278" i="1"/>
  <c r="H2278" i="1"/>
  <c r="I2278" i="1"/>
  <c r="C2402" i="1"/>
  <c r="D2402" i="1"/>
  <c r="E2402" i="1"/>
  <c r="F2402" i="1"/>
  <c r="G2402" i="1"/>
  <c r="H2402" i="1"/>
  <c r="I2402" i="1"/>
  <c r="C2403" i="1"/>
  <c r="D2403" i="1"/>
  <c r="E2403" i="1"/>
  <c r="F2403" i="1"/>
  <c r="G2403" i="1"/>
  <c r="H2403" i="1"/>
  <c r="I2403" i="1"/>
  <c r="C2531" i="1"/>
  <c r="D2531" i="1"/>
  <c r="E2531" i="1"/>
  <c r="F2531" i="1"/>
  <c r="G2531" i="1"/>
  <c r="H2531" i="1"/>
  <c r="I2531" i="1"/>
  <c r="C2532" i="1"/>
  <c r="D2532" i="1"/>
  <c r="E2532" i="1"/>
  <c r="F2532" i="1"/>
  <c r="G2532" i="1"/>
  <c r="H2532" i="1"/>
  <c r="I2532" i="1"/>
  <c r="C3336" i="1"/>
  <c r="D3336" i="1"/>
  <c r="E3336" i="1"/>
  <c r="F3336" i="1"/>
  <c r="G3336" i="1"/>
  <c r="H3336" i="1"/>
  <c r="I3336" i="1"/>
  <c r="C2637" i="1"/>
  <c r="D2637" i="1"/>
  <c r="E2637" i="1"/>
  <c r="F2637" i="1"/>
  <c r="G2637" i="1"/>
  <c r="H2637" i="1"/>
  <c r="I2637" i="1"/>
  <c r="C2638" i="1"/>
  <c r="D2638" i="1"/>
  <c r="E2638" i="1"/>
  <c r="F2638" i="1"/>
  <c r="G2638" i="1"/>
  <c r="H2638" i="1"/>
  <c r="I2638" i="1"/>
  <c r="C2752" i="1"/>
  <c r="D2752" i="1"/>
  <c r="E2752" i="1"/>
  <c r="F2752" i="1"/>
  <c r="G2752" i="1"/>
  <c r="H2752" i="1"/>
  <c r="I2752" i="1"/>
  <c r="C2753" i="1"/>
  <c r="D2753" i="1"/>
  <c r="E2753" i="1"/>
  <c r="F2753" i="1"/>
  <c r="G2753" i="1"/>
  <c r="H2753" i="1"/>
  <c r="I2753" i="1"/>
  <c r="C2754" i="1"/>
  <c r="D2754" i="1"/>
  <c r="E2754" i="1"/>
  <c r="F2754" i="1"/>
  <c r="G2754" i="1"/>
  <c r="H2754" i="1"/>
  <c r="I2754" i="1"/>
  <c r="C2851" i="1"/>
  <c r="D2851" i="1"/>
  <c r="E2851" i="1"/>
  <c r="F2851" i="1"/>
  <c r="G2851" i="1"/>
  <c r="H2851" i="1"/>
  <c r="I2851" i="1"/>
  <c r="C2852" i="1"/>
  <c r="D2852" i="1"/>
  <c r="E2852" i="1"/>
  <c r="F2852" i="1"/>
  <c r="G2852" i="1"/>
  <c r="H2852" i="1"/>
  <c r="I2852" i="1"/>
  <c r="C2971" i="1"/>
  <c r="D2971" i="1"/>
  <c r="E2971" i="1"/>
  <c r="F2971" i="1"/>
  <c r="G2971" i="1"/>
  <c r="H2971" i="1"/>
  <c r="I2971" i="1"/>
  <c r="C2972" i="1"/>
  <c r="D2972" i="1"/>
  <c r="E2972" i="1"/>
  <c r="F2972" i="1"/>
  <c r="G2972" i="1"/>
  <c r="H2972" i="1"/>
  <c r="I2972" i="1"/>
  <c r="C3034" i="1"/>
  <c r="D3034" i="1"/>
  <c r="E3034" i="1"/>
  <c r="F3034" i="1"/>
  <c r="G3034" i="1"/>
  <c r="H3034" i="1"/>
  <c r="I3034" i="1"/>
  <c r="C3035" i="1"/>
  <c r="D3035" i="1"/>
  <c r="E3035" i="1"/>
  <c r="F3035" i="1"/>
  <c r="G3035" i="1"/>
  <c r="H3035" i="1"/>
  <c r="I3035" i="1"/>
  <c r="C3036" i="1"/>
  <c r="D3036" i="1"/>
  <c r="E3036" i="1"/>
  <c r="F3036" i="1"/>
  <c r="G3036" i="1"/>
  <c r="H3036" i="1"/>
  <c r="I3036" i="1"/>
  <c r="C3105" i="1"/>
  <c r="D3105" i="1"/>
  <c r="E3105" i="1"/>
  <c r="F3105" i="1"/>
  <c r="G3105" i="1"/>
  <c r="H3105" i="1"/>
  <c r="I3105" i="1"/>
  <c r="C3106" i="1"/>
  <c r="D3106" i="1"/>
  <c r="E3106" i="1"/>
  <c r="F3106" i="1"/>
  <c r="G3106" i="1"/>
  <c r="H3106" i="1"/>
  <c r="I3106" i="1"/>
  <c r="C3384" i="1"/>
  <c r="D3384" i="1"/>
  <c r="E3384" i="1"/>
  <c r="F3384" i="1"/>
  <c r="G3384" i="1"/>
  <c r="H3384" i="1"/>
  <c r="I3384" i="1"/>
  <c r="C3453" i="1"/>
  <c r="D3453" i="1"/>
  <c r="E3453" i="1"/>
  <c r="F3453" i="1"/>
  <c r="G3453" i="1"/>
  <c r="H3453" i="1"/>
  <c r="I3453" i="1"/>
  <c r="C3454" i="1"/>
  <c r="D3454" i="1"/>
  <c r="E3454" i="1"/>
  <c r="F3454" i="1"/>
  <c r="G3454" i="1"/>
  <c r="H3454" i="1"/>
  <c r="I3454" i="1"/>
  <c r="C3569" i="1"/>
  <c r="D3569" i="1"/>
  <c r="E3569" i="1"/>
  <c r="F3569" i="1"/>
  <c r="G3569" i="1"/>
  <c r="H3569" i="1"/>
  <c r="I3569" i="1"/>
  <c r="C3570" i="1"/>
  <c r="D3570" i="1"/>
  <c r="E3570" i="1"/>
  <c r="F3570" i="1"/>
  <c r="G3570" i="1"/>
  <c r="H3570" i="1"/>
  <c r="I3570" i="1"/>
  <c r="C3633" i="1"/>
  <c r="D3633" i="1"/>
  <c r="E3633" i="1"/>
  <c r="F3633" i="1"/>
  <c r="G3633" i="1"/>
  <c r="H3633" i="1"/>
  <c r="I3633" i="1"/>
  <c r="C3634" i="1"/>
  <c r="D3634" i="1"/>
  <c r="E3634" i="1"/>
  <c r="F3634" i="1"/>
  <c r="G3634" i="1"/>
  <c r="H3634" i="1"/>
  <c r="I3634" i="1"/>
  <c r="C3686" i="1"/>
  <c r="D3686" i="1"/>
  <c r="E3686" i="1"/>
  <c r="F3686" i="1"/>
  <c r="G3686" i="1"/>
  <c r="H3686" i="1"/>
  <c r="I3686" i="1"/>
  <c r="C3736" i="1"/>
  <c r="D3736" i="1"/>
  <c r="E3736" i="1"/>
  <c r="F3736" i="1"/>
  <c r="G3736" i="1"/>
  <c r="H3736" i="1"/>
  <c r="I3736" i="1"/>
  <c r="C3888" i="1"/>
  <c r="D3888" i="1"/>
  <c r="E3888" i="1"/>
  <c r="F3888" i="1"/>
  <c r="G3888" i="1"/>
  <c r="H3888" i="1"/>
  <c r="I3888" i="1"/>
  <c r="C4021" i="1"/>
  <c r="D4021" i="1"/>
  <c r="E4021" i="1"/>
  <c r="F4021" i="1"/>
  <c r="G4021" i="1"/>
  <c r="H4021" i="1"/>
  <c r="I4021" i="1"/>
  <c r="C4022" i="1"/>
  <c r="D4022" i="1"/>
  <c r="E4022" i="1"/>
  <c r="F4022" i="1"/>
  <c r="G4022" i="1"/>
  <c r="H4022" i="1"/>
  <c r="I4022" i="1"/>
  <c r="C4023" i="1"/>
  <c r="D4023" i="1"/>
  <c r="E4023" i="1"/>
  <c r="F4023" i="1"/>
  <c r="G4023" i="1"/>
  <c r="H4023" i="1"/>
  <c r="I4023" i="1"/>
  <c r="C4204" i="1"/>
  <c r="D4204" i="1"/>
  <c r="E4204" i="1"/>
  <c r="F4204" i="1"/>
  <c r="G4204" i="1"/>
  <c r="H4204" i="1"/>
  <c r="I4204" i="1"/>
  <c r="C4130" i="1"/>
  <c r="D4130" i="1"/>
  <c r="E4130" i="1"/>
  <c r="F4130" i="1"/>
  <c r="G4130" i="1"/>
  <c r="H4130" i="1"/>
  <c r="I4130" i="1"/>
  <c r="C4160" i="1"/>
  <c r="D4160" i="1"/>
  <c r="E4160" i="1"/>
  <c r="F4160" i="1"/>
  <c r="G4160" i="1"/>
  <c r="H4160" i="1"/>
  <c r="I4160" i="1"/>
  <c r="C4184" i="1"/>
  <c r="D4184" i="1"/>
  <c r="E4184" i="1"/>
  <c r="F4184" i="1"/>
  <c r="G4184" i="1"/>
  <c r="H4184" i="1"/>
  <c r="I4184" i="1"/>
  <c r="C4214" i="1"/>
  <c r="D4214" i="1"/>
  <c r="E4214" i="1"/>
  <c r="F4214" i="1"/>
  <c r="G4214" i="1"/>
  <c r="H4214" i="1"/>
  <c r="I4214" i="1"/>
  <c r="C4226" i="1"/>
  <c r="D4226" i="1"/>
  <c r="E4226" i="1"/>
  <c r="F4226" i="1"/>
  <c r="G4226" i="1"/>
  <c r="H4226" i="1"/>
  <c r="I4226" i="1"/>
  <c r="C49" i="1"/>
  <c r="D49" i="1"/>
  <c r="E49" i="1"/>
  <c r="F49" i="1"/>
  <c r="G49" i="1"/>
  <c r="H49" i="1"/>
  <c r="I49" i="1"/>
  <c r="C351" i="1"/>
  <c r="D351" i="1"/>
  <c r="E351" i="1"/>
  <c r="F351" i="1"/>
  <c r="G351" i="1"/>
  <c r="H351" i="1"/>
  <c r="I351" i="1"/>
  <c r="C449" i="1"/>
  <c r="D449" i="1"/>
  <c r="E449" i="1"/>
  <c r="F449" i="1"/>
  <c r="G449" i="1"/>
  <c r="H449" i="1"/>
  <c r="I449" i="1"/>
  <c r="C504" i="1"/>
  <c r="D504" i="1"/>
  <c r="E504" i="1"/>
  <c r="F504" i="1"/>
  <c r="G504" i="1"/>
  <c r="H504" i="1"/>
  <c r="I504" i="1"/>
  <c r="C922" i="1"/>
  <c r="D922" i="1"/>
  <c r="E922" i="1"/>
  <c r="F922" i="1"/>
  <c r="G922" i="1"/>
  <c r="H922" i="1"/>
  <c r="I922" i="1"/>
  <c r="C1058" i="1"/>
  <c r="D1058" i="1"/>
  <c r="E1058" i="1"/>
  <c r="F1058" i="1"/>
  <c r="G1058" i="1"/>
  <c r="H1058" i="1"/>
  <c r="I1058" i="1"/>
  <c r="C1059" i="1"/>
  <c r="D1059" i="1"/>
  <c r="E1059" i="1"/>
  <c r="F1059" i="1"/>
  <c r="G1059" i="1"/>
  <c r="H1059" i="1"/>
  <c r="I1059" i="1"/>
  <c r="C1060" i="1"/>
  <c r="D1060" i="1"/>
  <c r="E1060" i="1"/>
  <c r="F1060" i="1"/>
  <c r="G1060" i="1"/>
  <c r="H1060" i="1"/>
  <c r="I1060" i="1"/>
  <c r="C1061" i="1"/>
  <c r="D1061" i="1"/>
  <c r="E1061" i="1"/>
  <c r="F1061" i="1"/>
  <c r="G1061" i="1"/>
  <c r="H1061" i="1"/>
  <c r="I1061" i="1"/>
  <c r="C1199" i="1"/>
  <c r="D1199" i="1"/>
  <c r="E1199" i="1"/>
  <c r="F1199" i="1"/>
  <c r="G1199" i="1"/>
  <c r="H1199" i="1"/>
  <c r="I1199" i="1"/>
  <c r="C3337" i="1"/>
  <c r="D3337" i="1"/>
  <c r="E3337" i="1"/>
  <c r="F3337" i="1"/>
  <c r="G3337" i="1"/>
  <c r="H3337" i="1"/>
  <c r="I3337" i="1"/>
  <c r="C1200" i="1"/>
  <c r="D1200" i="1"/>
  <c r="E1200" i="1"/>
  <c r="F1200" i="1"/>
  <c r="G1200" i="1"/>
  <c r="H1200" i="1"/>
  <c r="I1200" i="1"/>
  <c r="C1338" i="1"/>
  <c r="D1338" i="1"/>
  <c r="E1338" i="1"/>
  <c r="F1338" i="1"/>
  <c r="G1338" i="1"/>
  <c r="H1338" i="1"/>
  <c r="I1338" i="1"/>
  <c r="C1469" i="1"/>
  <c r="D1469" i="1"/>
  <c r="E1469" i="1"/>
  <c r="F1469" i="1"/>
  <c r="G1469" i="1"/>
  <c r="H1469" i="1"/>
  <c r="I1469" i="1"/>
  <c r="C1470" i="1"/>
  <c r="D1470" i="1"/>
  <c r="E1470" i="1"/>
  <c r="F1470" i="1"/>
  <c r="G1470" i="1"/>
  <c r="H1470" i="1"/>
  <c r="I1470" i="1"/>
  <c r="C1471" i="1"/>
  <c r="D1471" i="1"/>
  <c r="E1471" i="1"/>
  <c r="F1471" i="1"/>
  <c r="G1471" i="1"/>
  <c r="H1471" i="1"/>
  <c r="I1471" i="1"/>
  <c r="C1596" i="1"/>
  <c r="D1596" i="1"/>
  <c r="E1596" i="1"/>
  <c r="F1596" i="1"/>
  <c r="G1596" i="1"/>
  <c r="H1596" i="1"/>
  <c r="I1596" i="1"/>
  <c r="C1597" i="1"/>
  <c r="D1597" i="1"/>
  <c r="E1597" i="1"/>
  <c r="F1597" i="1"/>
  <c r="G1597" i="1"/>
  <c r="H1597" i="1"/>
  <c r="I1597" i="1"/>
  <c r="C1750" i="1"/>
  <c r="D1750" i="1"/>
  <c r="E1750" i="1"/>
  <c r="F1750" i="1"/>
  <c r="G1750" i="1"/>
  <c r="H1750" i="1"/>
  <c r="I1750" i="1"/>
  <c r="C1751" i="1"/>
  <c r="D1751" i="1"/>
  <c r="E1751" i="1"/>
  <c r="F1751" i="1"/>
  <c r="G1751" i="1"/>
  <c r="H1751" i="1"/>
  <c r="I1751" i="1"/>
  <c r="C1752" i="1"/>
  <c r="D1752" i="1"/>
  <c r="E1752" i="1"/>
  <c r="F1752" i="1"/>
  <c r="G1752" i="1"/>
  <c r="H1752" i="1"/>
  <c r="I1752" i="1"/>
  <c r="C2025" i="1"/>
  <c r="D2025" i="1"/>
  <c r="E2025" i="1"/>
  <c r="F2025" i="1"/>
  <c r="G2025" i="1"/>
  <c r="H2025" i="1"/>
  <c r="I2025" i="1"/>
  <c r="C2139" i="1"/>
  <c r="D2139" i="1"/>
  <c r="E2139" i="1"/>
  <c r="F2139" i="1"/>
  <c r="G2139" i="1"/>
  <c r="H2139" i="1"/>
  <c r="I2139" i="1"/>
  <c r="C2140" i="1"/>
  <c r="D2140" i="1"/>
  <c r="E2140" i="1"/>
  <c r="F2140" i="1"/>
  <c r="G2140" i="1"/>
  <c r="H2140" i="1"/>
  <c r="I2140" i="1"/>
  <c r="C2141" i="1"/>
  <c r="D2141" i="1"/>
  <c r="E2141" i="1"/>
  <c r="F2141" i="1"/>
  <c r="G2141" i="1"/>
  <c r="H2141" i="1"/>
  <c r="I2141" i="1"/>
  <c r="C2973" i="1"/>
  <c r="D2973" i="1"/>
  <c r="E2973" i="1"/>
  <c r="F2973" i="1"/>
  <c r="G2973" i="1"/>
  <c r="H2973" i="1"/>
  <c r="I2973" i="1"/>
  <c r="C2279" i="1"/>
  <c r="D2279" i="1"/>
  <c r="E2279" i="1"/>
  <c r="F2279" i="1"/>
  <c r="G2279" i="1"/>
  <c r="H2279" i="1"/>
  <c r="I2279" i="1"/>
  <c r="C2280" i="1"/>
  <c r="D2280" i="1"/>
  <c r="E2280" i="1"/>
  <c r="F2280" i="1"/>
  <c r="G2280" i="1"/>
  <c r="H2280" i="1"/>
  <c r="I2280" i="1"/>
  <c r="C2533" i="1"/>
  <c r="D2533" i="1"/>
  <c r="E2533" i="1"/>
  <c r="F2533" i="1"/>
  <c r="G2533" i="1"/>
  <c r="H2533" i="1"/>
  <c r="I2533" i="1"/>
  <c r="C2639" i="1"/>
  <c r="D2639" i="1"/>
  <c r="E2639" i="1"/>
  <c r="F2639" i="1"/>
  <c r="G2639" i="1"/>
  <c r="H2639" i="1"/>
  <c r="I2639" i="1"/>
  <c r="C2640" i="1"/>
  <c r="D2640" i="1"/>
  <c r="E2640" i="1"/>
  <c r="F2640" i="1"/>
  <c r="G2640" i="1"/>
  <c r="H2640" i="1"/>
  <c r="I2640" i="1"/>
  <c r="C2641" i="1"/>
  <c r="D2641" i="1"/>
  <c r="E2641" i="1"/>
  <c r="F2641" i="1"/>
  <c r="G2641" i="1"/>
  <c r="H2641" i="1"/>
  <c r="I2641" i="1"/>
  <c r="C2642" i="1"/>
  <c r="D2642" i="1"/>
  <c r="E2642" i="1"/>
  <c r="F2642" i="1"/>
  <c r="G2642" i="1"/>
  <c r="H2642" i="1"/>
  <c r="I2642" i="1"/>
  <c r="C2755" i="1"/>
  <c r="D2755" i="1"/>
  <c r="E2755" i="1"/>
  <c r="F2755" i="1"/>
  <c r="G2755" i="1"/>
  <c r="H2755" i="1"/>
  <c r="I2755" i="1"/>
  <c r="C2756" i="1"/>
  <c r="D2756" i="1"/>
  <c r="E2756" i="1"/>
  <c r="F2756" i="1"/>
  <c r="G2756" i="1"/>
  <c r="H2756" i="1"/>
  <c r="I2756" i="1"/>
  <c r="C2939" i="1"/>
  <c r="D2939" i="1"/>
  <c r="E2939" i="1"/>
  <c r="F2939" i="1"/>
  <c r="G2939" i="1"/>
  <c r="H2939" i="1"/>
  <c r="I2939" i="1"/>
  <c r="C3385" i="1"/>
  <c r="D3385" i="1"/>
  <c r="E3385" i="1"/>
  <c r="F3385" i="1"/>
  <c r="G3385" i="1"/>
  <c r="H3385" i="1"/>
  <c r="I3385" i="1"/>
  <c r="C3455" i="1"/>
  <c r="D3455" i="1"/>
  <c r="E3455" i="1"/>
  <c r="F3455" i="1"/>
  <c r="G3455" i="1"/>
  <c r="H3455" i="1"/>
  <c r="I3455" i="1"/>
  <c r="C3571" i="1"/>
  <c r="D3571" i="1"/>
  <c r="E3571" i="1"/>
  <c r="F3571" i="1"/>
  <c r="G3571" i="1"/>
  <c r="H3571" i="1"/>
  <c r="I3571" i="1"/>
  <c r="C3635" i="1"/>
  <c r="D3635" i="1"/>
  <c r="E3635" i="1"/>
  <c r="F3635" i="1"/>
  <c r="G3635" i="1"/>
  <c r="H3635" i="1"/>
  <c r="I3635" i="1"/>
  <c r="C1598" i="1"/>
  <c r="D1598" i="1"/>
  <c r="E1598" i="1"/>
  <c r="F1598" i="1"/>
  <c r="G1598" i="1"/>
  <c r="H1598" i="1"/>
  <c r="I1598" i="1"/>
  <c r="C1888" i="1"/>
  <c r="D1888" i="1"/>
  <c r="E1888" i="1"/>
  <c r="F1888" i="1"/>
  <c r="G1888" i="1"/>
  <c r="H1888" i="1"/>
  <c r="I1888" i="1"/>
  <c r="C1599" i="1"/>
  <c r="D1599" i="1"/>
  <c r="E1599" i="1"/>
  <c r="F1599" i="1"/>
  <c r="G1599" i="1"/>
  <c r="H1599" i="1"/>
  <c r="I1599" i="1"/>
  <c r="C1753" i="1"/>
  <c r="D1753" i="1"/>
  <c r="E1753" i="1"/>
  <c r="F1753" i="1"/>
  <c r="G1753" i="1"/>
  <c r="H1753" i="1"/>
  <c r="I1753" i="1"/>
  <c r="C2430" i="1"/>
  <c r="D2430" i="1"/>
  <c r="E2430" i="1"/>
  <c r="F2430" i="1"/>
  <c r="G2430" i="1"/>
  <c r="H2430" i="1"/>
  <c r="I2430" i="1"/>
  <c r="C923" i="1"/>
  <c r="D923" i="1"/>
  <c r="E923" i="1"/>
  <c r="F923" i="1"/>
  <c r="G923" i="1"/>
  <c r="H923" i="1"/>
  <c r="I923" i="1"/>
  <c r="C729" i="1"/>
  <c r="D729" i="1"/>
  <c r="E729" i="1"/>
  <c r="F729" i="1"/>
  <c r="G729" i="1"/>
  <c r="H729" i="1"/>
  <c r="I729" i="1"/>
  <c r="C1062" i="1"/>
  <c r="D1062" i="1"/>
  <c r="E1062" i="1"/>
  <c r="F1062" i="1"/>
  <c r="G1062" i="1"/>
  <c r="H1062" i="1"/>
  <c r="I1062" i="1"/>
  <c r="C730" i="1"/>
  <c r="D730" i="1"/>
  <c r="E730" i="1"/>
  <c r="F730" i="1"/>
  <c r="G730" i="1"/>
  <c r="H730" i="1"/>
  <c r="I730" i="1"/>
  <c r="C669" i="1"/>
  <c r="D669" i="1"/>
  <c r="E669" i="1"/>
  <c r="F669" i="1"/>
  <c r="G669" i="1"/>
  <c r="H669" i="1"/>
  <c r="I669" i="1"/>
  <c r="C670" i="1"/>
  <c r="D670" i="1"/>
  <c r="E670" i="1"/>
  <c r="F670" i="1"/>
  <c r="G670" i="1"/>
  <c r="H670" i="1"/>
  <c r="I670" i="1"/>
  <c r="C626" i="1"/>
  <c r="D626" i="1"/>
  <c r="E626" i="1"/>
  <c r="F626" i="1"/>
  <c r="G626" i="1"/>
  <c r="H626" i="1"/>
  <c r="I626" i="1"/>
  <c r="C671" i="1"/>
  <c r="D671" i="1"/>
  <c r="E671" i="1"/>
  <c r="F671" i="1"/>
  <c r="G671" i="1"/>
  <c r="H671" i="1"/>
  <c r="I671" i="1"/>
  <c r="C1600" i="1"/>
  <c r="D1600" i="1"/>
  <c r="E1600" i="1"/>
  <c r="F1600" i="1"/>
  <c r="G1600" i="1"/>
  <c r="H1600" i="1"/>
  <c r="I1600" i="1"/>
  <c r="C1601" i="1"/>
  <c r="D1601" i="1"/>
  <c r="E1601" i="1"/>
  <c r="F1601" i="1"/>
  <c r="G1601" i="1"/>
  <c r="H1601" i="1"/>
  <c r="I1601" i="1"/>
  <c r="C1201" i="1"/>
  <c r="D1201" i="1"/>
  <c r="E1201" i="1"/>
  <c r="F1201" i="1"/>
  <c r="G1201" i="1"/>
  <c r="H1201" i="1"/>
  <c r="I1201" i="1"/>
  <c r="C1339" i="1"/>
  <c r="D1339" i="1"/>
  <c r="E1339" i="1"/>
  <c r="F1339" i="1"/>
  <c r="G1339" i="1"/>
  <c r="H1339" i="1"/>
  <c r="I1339" i="1"/>
  <c r="C1063" i="1"/>
  <c r="D1063" i="1"/>
  <c r="E1063" i="1"/>
  <c r="F1063" i="1"/>
  <c r="G1063" i="1"/>
  <c r="H1063" i="1"/>
  <c r="I1063" i="1"/>
  <c r="C505" i="1"/>
  <c r="D505" i="1"/>
  <c r="E505" i="1"/>
  <c r="F505" i="1"/>
  <c r="G505" i="1"/>
  <c r="H505" i="1"/>
  <c r="I505" i="1"/>
  <c r="C924" i="1"/>
  <c r="D924" i="1"/>
  <c r="E924" i="1"/>
  <c r="F924" i="1"/>
  <c r="G924" i="1"/>
  <c r="H924" i="1"/>
  <c r="I924" i="1"/>
  <c r="C1202" i="1"/>
  <c r="D1202" i="1"/>
  <c r="E1202" i="1"/>
  <c r="F1202" i="1"/>
  <c r="G1202" i="1"/>
  <c r="H1202" i="1"/>
  <c r="I1202" i="1"/>
  <c r="C1472" i="1"/>
  <c r="D1472" i="1"/>
  <c r="E1472" i="1"/>
  <c r="F1472" i="1"/>
  <c r="G1472" i="1"/>
  <c r="H1472" i="1"/>
  <c r="I1472" i="1"/>
  <c r="C1754" i="1"/>
  <c r="D1754" i="1"/>
  <c r="E1754" i="1"/>
  <c r="F1754" i="1"/>
  <c r="G1754" i="1"/>
  <c r="H1754" i="1"/>
  <c r="I1754" i="1"/>
  <c r="C1473" i="1"/>
  <c r="D1473" i="1"/>
  <c r="E1473" i="1"/>
  <c r="F1473" i="1"/>
  <c r="G1473" i="1"/>
  <c r="H1473" i="1"/>
  <c r="I1473" i="1"/>
  <c r="C925" i="1"/>
  <c r="D925" i="1"/>
  <c r="E925" i="1"/>
  <c r="F925" i="1"/>
  <c r="G925" i="1"/>
  <c r="H925" i="1"/>
  <c r="I925" i="1"/>
  <c r="C926" i="1"/>
  <c r="D926" i="1"/>
  <c r="E926" i="1"/>
  <c r="F926" i="1"/>
  <c r="G926" i="1"/>
  <c r="H926" i="1"/>
  <c r="I926" i="1"/>
  <c r="C1064" i="1"/>
  <c r="D1064" i="1"/>
  <c r="E1064" i="1"/>
  <c r="F1064" i="1"/>
  <c r="G1064" i="1"/>
  <c r="H1064" i="1"/>
  <c r="I1064" i="1"/>
  <c r="C800" i="1"/>
  <c r="D800" i="1"/>
  <c r="E800" i="1"/>
  <c r="F800" i="1"/>
  <c r="G800" i="1"/>
  <c r="H800" i="1"/>
  <c r="I800" i="1"/>
  <c r="C1795" i="1"/>
  <c r="D1795" i="1"/>
  <c r="E1795" i="1"/>
  <c r="F1795" i="1"/>
  <c r="G1795" i="1"/>
  <c r="H1795" i="1"/>
  <c r="I1795" i="1"/>
  <c r="C1065" i="1"/>
  <c r="D1065" i="1"/>
  <c r="E1065" i="1"/>
  <c r="F1065" i="1"/>
  <c r="G1065" i="1"/>
  <c r="H1065" i="1"/>
  <c r="I1065" i="1"/>
  <c r="C50" i="1"/>
  <c r="D50" i="1"/>
  <c r="E50" i="1"/>
  <c r="F50" i="1"/>
  <c r="G50" i="1"/>
  <c r="H50" i="1"/>
  <c r="I50" i="1"/>
  <c r="C1203" i="1"/>
  <c r="D1203" i="1"/>
  <c r="E1203" i="1"/>
  <c r="F1203" i="1"/>
  <c r="G1203" i="1"/>
  <c r="H1203" i="1"/>
  <c r="I1203" i="1"/>
  <c r="C672" i="1"/>
  <c r="D672" i="1"/>
  <c r="E672" i="1"/>
  <c r="F672" i="1"/>
  <c r="G672" i="1"/>
  <c r="H672" i="1"/>
  <c r="I672" i="1"/>
  <c r="C1889" i="1"/>
  <c r="D1889" i="1"/>
  <c r="E1889" i="1"/>
  <c r="F1889" i="1"/>
  <c r="G1889" i="1"/>
  <c r="H1889" i="1"/>
  <c r="I1889" i="1"/>
  <c r="C627" i="1"/>
  <c r="D627" i="1"/>
  <c r="E627" i="1"/>
  <c r="F627" i="1"/>
  <c r="G627" i="1"/>
  <c r="H627" i="1"/>
  <c r="I627" i="1"/>
  <c r="C2853" i="1"/>
  <c r="D2853" i="1"/>
  <c r="E2853" i="1"/>
  <c r="F2853" i="1"/>
  <c r="G2853" i="1"/>
  <c r="H2853" i="1"/>
  <c r="I2853" i="1"/>
  <c r="C927" i="1"/>
  <c r="D927" i="1"/>
  <c r="E927" i="1"/>
  <c r="F927" i="1"/>
  <c r="G927" i="1"/>
  <c r="H927" i="1"/>
  <c r="I927" i="1"/>
  <c r="C1602" i="1"/>
  <c r="D1602" i="1"/>
  <c r="E1602" i="1"/>
  <c r="F1602" i="1"/>
  <c r="G1602" i="1"/>
  <c r="H1602" i="1"/>
  <c r="I1602" i="1"/>
  <c r="C2142" i="1"/>
  <c r="D2142" i="1"/>
  <c r="E2142" i="1"/>
  <c r="F2142" i="1"/>
  <c r="G2142" i="1"/>
  <c r="H2142" i="1"/>
  <c r="I2142" i="1"/>
  <c r="C2026" i="1"/>
  <c r="D2026" i="1"/>
  <c r="E2026" i="1"/>
  <c r="F2026" i="1"/>
  <c r="G2026" i="1"/>
  <c r="H2026" i="1"/>
  <c r="I2026" i="1"/>
  <c r="C2143" i="1"/>
  <c r="D2143" i="1"/>
  <c r="E2143" i="1"/>
  <c r="F2143" i="1"/>
  <c r="G2143" i="1"/>
  <c r="H2143" i="1"/>
  <c r="I2143" i="1"/>
  <c r="C3037" i="1"/>
  <c r="D3037" i="1"/>
  <c r="E3037" i="1"/>
  <c r="F3037" i="1"/>
  <c r="G3037" i="1"/>
  <c r="H3037" i="1"/>
  <c r="I3037" i="1"/>
  <c r="C2854" i="1"/>
  <c r="D2854" i="1"/>
  <c r="E2854" i="1"/>
  <c r="F2854" i="1"/>
  <c r="G2854" i="1"/>
  <c r="H2854" i="1"/>
  <c r="I2854" i="1"/>
  <c r="C25" i="1"/>
  <c r="D25" i="1"/>
  <c r="E25" i="1"/>
  <c r="F25" i="1"/>
  <c r="G25" i="1"/>
  <c r="H25" i="1"/>
  <c r="I25" i="1"/>
  <c r="C4170" i="1"/>
  <c r="D4170" i="1"/>
  <c r="E4170" i="1"/>
  <c r="F4170" i="1"/>
  <c r="G4170" i="1"/>
  <c r="H4170" i="1"/>
  <c r="I4170" i="1"/>
  <c r="C3988" i="1"/>
  <c r="D3988" i="1"/>
  <c r="E3988" i="1"/>
  <c r="F3988" i="1"/>
  <c r="G3988" i="1"/>
  <c r="H3988" i="1"/>
  <c r="I3988" i="1"/>
  <c r="C506" i="1"/>
  <c r="D506" i="1"/>
  <c r="E506" i="1"/>
  <c r="F506" i="1"/>
  <c r="G506" i="1"/>
  <c r="H506" i="1"/>
  <c r="I506" i="1"/>
  <c r="C303" i="1"/>
  <c r="D303" i="1"/>
  <c r="E303" i="1"/>
  <c r="F303" i="1"/>
  <c r="G303" i="1"/>
  <c r="H303" i="1"/>
  <c r="I303" i="1"/>
  <c r="C515" i="1"/>
  <c r="D515" i="1"/>
  <c r="E515" i="1"/>
  <c r="F515" i="1"/>
  <c r="G515" i="1"/>
  <c r="H515" i="1"/>
  <c r="I515" i="1"/>
  <c r="C1340" i="1"/>
  <c r="D1340" i="1"/>
  <c r="E1340" i="1"/>
  <c r="F1340" i="1"/>
  <c r="G1340" i="1"/>
  <c r="H1340" i="1"/>
  <c r="I1340" i="1"/>
  <c r="C2940" i="1"/>
  <c r="D2940" i="1"/>
  <c r="E2940" i="1"/>
  <c r="F2940" i="1"/>
  <c r="G2940" i="1"/>
  <c r="H2940" i="1"/>
  <c r="I2940" i="1"/>
  <c r="C2404" i="1"/>
  <c r="D2404" i="1"/>
  <c r="E2404" i="1"/>
  <c r="F2404" i="1"/>
  <c r="G2404" i="1"/>
  <c r="H2404" i="1"/>
  <c r="I2404" i="1"/>
  <c r="C2144" i="1"/>
  <c r="D2144" i="1"/>
  <c r="E2144" i="1"/>
  <c r="F2144" i="1"/>
  <c r="G2144" i="1"/>
  <c r="H2144" i="1"/>
  <c r="I2144" i="1"/>
  <c r="C1341" i="1"/>
  <c r="D1341" i="1"/>
  <c r="E1341" i="1"/>
  <c r="F1341" i="1"/>
  <c r="G1341" i="1"/>
  <c r="H1341" i="1"/>
  <c r="I1341" i="1"/>
  <c r="C3174" i="1"/>
  <c r="D3174" i="1"/>
  <c r="E3174" i="1"/>
  <c r="F3174" i="1"/>
  <c r="G3174" i="1"/>
  <c r="H3174" i="1"/>
  <c r="I3174" i="1"/>
  <c r="C236" i="1"/>
  <c r="D236" i="1"/>
  <c r="E236" i="1"/>
  <c r="F236" i="1"/>
  <c r="G236" i="1"/>
  <c r="H236" i="1"/>
  <c r="I236" i="1"/>
  <c r="C3790" i="1"/>
  <c r="D3790" i="1"/>
  <c r="E3790" i="1"/>
  <c r="F3790" i="1"/>
  <c r="G3790" i="1"/>
  <c r="H3790" i="1"/>
  <c r="I3790" i="1"/>
  <c r="C2145" i="1"/>
  <c r="D2145" i="1"/>
  <c r="E2145" i="1"/>
  <c r="F2145" i="1"/>
  <c r="G2145" i="1"/>
  <c r="H2145" i="1"/>
  <c r="I2145" i="1"/>
  <c r="C3518" i="1"/>
  <c r="D3518" i="1"/>
  <c r="E3518" i="1"/>
  <c r="F3518" i="1"/>
  <c r="G3518" i="1"/>
  <c r="H3518" i="1"/>
  <c r="I3518" i="1"/>
  <c r="C3687" i="1"/>
  <c r="D3687" i="1"/>
  <c r="E3687" i="1"/>
  <c r="F3687" i="1"/>
  <c r="G3687" i="1"/>
  <c r="H3687" i="1"/>
  <c r="I3687" i="1"/>
  <c r="C3846" i="1"/>
  <c r="D3846" i="1"/>
  <c r="E3846" i="1"/>
  <c r="F3846" i="1"/>
  <c r="G3846" i="1"/>
  <c r="H3846" i="1"/>
  <c r="I3846" i="1"/>
  <c r="C3791" i="1"/>
  <c r="D3791" i="1"/>
  <c r="E3791" i="1"/>
  <c r="F3791" i="1"/>
  <c r="G3791" i="1"/>
  <c r="H3791" i="1"/>
  <c r="I3791" i="1"/>
  <c r="C3956" i="1"/>
  <c r="D3956" i="1"/>
  <c r="E3956" i="1"/>
  <c r="F3956" i="1"/>
  <c r="G3956" i="1"/>
  <c r="H3956" i="1"/>
  <c r="I3956" i="1"/>
  <c r="C673" i="1"/>
  <c r="D673" i="1"/>
  <c r="E673" i="1"/>
  <c r="F673" i="1"/>
  <c r="G673" i="1"/>
  <c r="H673" i="1"/>
  <c r="I673" i="1"/>
  <c r="C3321" i="1"/>
  <c r="D3321" i="1"/>
  <c r="E3321" i="1"/>
  <c r="F3321" i="1"/>
  <c r="G3321" i="1"/>
  <c r="H3321" i="1"/>
  <c r="I3321" i="1"/>
  <c r="C3386" i="1"/>
  <c r="D3386" i="1"/>
  <c r="E3386" i="1"/>
  <c r="F3386" i="1"/>
  <c r="G3386" i="1"/>
  <c r="H3386" i="1"/>
  <c r="I3386" i="1"/>
  <c r="C2757" i="1"/>
  <c r="D2757" i="1"/>
  <c r="E2757" i="1"/>
  <c r="F2757" i="1"/>
  <c r="G2757" i="1"/>
  <c r="H2757" i="1"/>
  <c r="I2757" i="1"/>
  <c r="C3456" i="1"/>
  <c r="D3456" i="1"/>
  <c r="E3456" i="1"/>
  <c r="F3456" i="1"/>
  <c r="G3456" i="1"/>
  <c r="H3456" i="1"/>
  <c r="I3456" i="1"/>
  <c r="C3572" i="1"/>
  <c r="D3572" i="1"/>
  <c r="E3572" i="1"/>
  <c r="F3572" i="1"/>
  <c r="G3572" i="1"/>
  <c r="H3572" i="1"/>
  <c r="I3572" i="1"/>
  <c r="C1474" i="1"/>
  <c r="D1474" i="1"/>
  <c r="E1474" i="1"/>
  <c r="F1474" i="1"/>
  <c r="G1474" i="1"/>
  <c r="H1474" i="1"/>
  <c r="I1474" i="1"/>
  <c r="C4151" i="1"/>
  <c r="D4151" i="1"/>
  <c r="E4151" i="1"/>
  <c r="F4151" i="1"/>
  <c r="G4151" i="1"/>
  <c r="H4151" i="1"/>
  <c r="I4151" i="1"/>
  <c r="C1755" i="1"/>
  <c r="D1755" i="1"/>
  <c r="E1755" i="1"/>
  <c r="F1755" i="1"/>
  <c r="G1755" i="1"/>
  <c r="H1755" i="1"/>
  <c r="I1755" i="1"/>
  <c r="C3957" i="1"/>
  <c r="D3957" i="1"/>
  <c r="E3957" i="1"/>
  <c r="F3957" i="1"/>
  <c r="G3957" i="1"/>
  <c r="H3957" i="1"/>
  <c r="I3957" i="1"/>
  <c r="C3107" i="1"/>
  <c r="D3107" i="1"/>
  <c r="E3107" i="1"/>
  <c r="F3107" i="1"/>
  <c r="G3107" i="1"/>
  <c r="H3107" i="1"/>
  <c r="I3107" i="1"/>
  <c r="C4084" i="1"/>
  <c r="D4084" i="1"/>
  <c r="E4084" i="1"/>
  <c r="F4084" i="1"/>
  <c r="G4084" i="1"/>
  <c r="H4084" i="1"/>
  <c r="I4084" i="1"/>
  <c r="C3847" i="1"/>
  <c r="D3847" i="1"/>
  <c r="E3847" i="1"/>
  <c r="F3847" i="1"/>
  <c r="G3847" i="1"/>
  <c r="H3847" i="1"/>
  <c r="I3847" i="1"/>
  <c r="C3038" i="1"/>
  <c r="D3038" i="1"/>
  <c r="E3038" i="1"/>
  <c r="F3038" i="1"/>
  <c r="G3038" i="1"/>
  <c r="H3038" i="1"/>
  <c r="I3038" i="1"/>
  <c r="C2855" i="1"/>
  <c r="D2855" i="1"/>
  <c r="E2855" i="1"/>
  <c r="F2855" i="1"/>
  <c r="G2855" i="1"/>
  <c r="H2855" i="1"/>
  <c r="I2855" i="1"/>
  <c r="C2534" i="1"/>
  <c r="D2534" i="1"/>
  <c r="E2534" i="1"/>
  <c r="F2534" i="1"/>
  <c r="G2534" i="1"/>
  <c r="H2534" i="1"/>
  <c r="I2534" i="1"/>
  <c r="C3636" i="1"/>
  <c r="D3636" i="1"/>
  <c r="E3636" i="1"/>
  <c r="F3636" i="1"/>
  <c r="G3636" i="1"/>
  <c r="H3636" i="1"/>
  <c r="I3636" i="1"/>
  <c r="C3848" i="1"/>
  <c r="D3848" i="1"/>
  <c r="E3848" i="1"/>
  <c r="F3848" i="1"/>
  <c r="G3848" i="1"/>
  <c r="H3848" i="1"/>
  <c r="I3848" i="1"/>
  <c r="C3322" i="1"/>
  <c r="D3322" i="1"/>
  <c r="E3322" i="1"/>
  <c r="F3322" i="1"/>
  <c r="G3322" i="1"/>
  <c r="H3322" i="1"/>
  <c r="I3322" i="1"/>
  <c r="C3323" i="1"/>
  <c r="D3323" i="1"/>
  <c r="E3323" i="1"/>
  <c r="F3323" i="1"/>
  <c r="G3323" i="1"/>
  <c r="H3323" i="1"/>
  <c r="I3323" i="1"/>
  <c r="C3573" i="1"/>
  <c r="D3573" i="1"/>
  <c r="E3573" i="1"/>
  <c r="F3573" i="1"/>
  <c r="G3573" i="1"/>
  <c r="H3573" i="1"/>
  <c r="I3573" i="1"/>
  <c r="C3387" i="1"/>
  <c r="D3387" i="1"/>
  <c r="E3387" i="1"/>
  <c r="F3387" i="1"/>
  <c r="G3387" i="1"/>
  <c r="H3387" i="1"/>
  <c r="I3387" i="1"/>
  <c r="C3457" i="1"/>
  <c r="D3457" i="1"/>
  <c r="E3457" i="1"/>
  <c r="F3457" i="1"/>
  <c r="G3457" i="1"/>
  <c r="H3457" i="1"/>
  <c r="I3457" i="1"/>
  <c r="C3889" i="1"/>
  <c r="D3889" i="1"/>
  <c r="E3889" i="1"/>
  <c r="F3889" i="1"/>
  <c r="G3889" i="1"/>
  <c r="H3889" i="1"/>
  <c r="I3889" i="1"/>
  <c r="C3890" i="1"/>
  <c r="D3890" i="1"/>
  <c r="E3890" i="1"/>
  <c r="F3890" i="1"/>
  <c r="G3890" i="1"/>
  <c r="H3890" i="1"/>
  <c r="I3890" i="1"/>
  <c r="C1603" i="1"/>
  <c r="D1603" i="1"/>
  <c r="E1603" i="1"/>
  <c r="F1603" i="1"/>
  <c r="G1603" i="1"/>
  <c r="H1603" i="1"/>
  <c r="I1603" i="1"/>
  <c r="C4197" i="1"/>
  <c r="D4197" i="1"/>
  <c r="E4197" i="1"/>
  <c r="F4197" i="1"/>
  <c r="G4197" i="1"/>
  <c r="H4197" i="1"/>
  <c r="I4197" i="1"/>
  <c r="C558" i="1"/>
  <c r="D558" i="1"/>
  <c r="E558" i="1"/>
  <c r="F558" i="1"/>
  <c r="G558" i="1"/>
  <c r="H558" i="1"/>
  <c r="I558" i="1"/>
  <c r="C262" i="1"/>
  <c r="D262" i="1"/>
  <c r="E262" i="1"/>
  <c r="F262" i="1"/>
  <c r="G262" i="1"/>
  <c r="H262" i="1"/>
  <c r="I262" i="1"/>
  <c r="C2405" i="1"/>
  <c r="D2405" i="1"/>
  <c r="E2405" i="1"/>
  <c r="F2405" i="1"/>
  <c r="G2405" i="1"/>
  <c r="H2405" i="1"/>
  <c r="I2405" i="1"/>
  <c r="C3039" i="1"/>
  <c r="D3039" i="1"/>
  <c r="E3039" i="1"/>
  <c r="F3039" i="1"/>
  <c r="G3039" i="1"/>
  <c r="H3039" i="1"/>
  <c r="I3039" i="1"/>
  <c r="C674" i="1"/>
  <c r="D674" i="1"/>
  <c r="E674" i="1"/>
  <c r="F674" i="1"/>
  <c r="G674" i="1"/>
  <c r="H674" i="1"/>
  <c r="I674" i="1"/>
  <c r="C3792" i="1"/>
  <c r="D3792" i="1"/>
  <c r="E3792" i="1"/>
  <c r="F3792" i="1"/>
  <c r="G3792" i="1"/>
  <c r="H3792" i="1"/>
  <c r="I3792" i="1"/>
  <c r="C4024" i="1"/>
  <c r="D4024" i="1"/>
  <c r="E4024" i="1"/>
  <c r="F4024" i="1"/>
  <c r="G4024" i="1"/>
  <c r="H4024" i="1"/>
  <c r="I4024" i="1"/>
  <c r="C2758" i="1"/>
  <c r="D2758" i="1"/>
  <c r="E2758" i="1"/>
  <c r="F2758" i="1"/>
  <c r="G2758" i="1"/>
  <c r="H2758" i="1"/>
  <c r="I2758" i="1"/>
  <c r="C3175" i="1"/>
  <c r="D3175" i="1"/>
  <c r="E3175" i="1"/>
  <c r="F3175" i="1"/>
  <c r="G3175" i="1"/>
  <c r="H3175" i="1"/>
  <c r="I3175" i="1"/>
  <c r="C2146" i="1"/>
  <c r="D2146" i="1"/>
  <c r="E2146" i="1"/>
  <c r="F2146" i="1"/>
  <c r="G2146" i="1"/>
  <c r="H2146" i="1"/>
  <c r="I2146" i="1"/>
  <c r="C3324" i="1"/>
  <c r="D3324" i="1"/>
  <c r="E3324" i="1"/>
  <c r="F3324" i="1"/>
  <c r="G3324" i="1"/>
  <c r="H3324" i="1"/>
  <c r="I3324" i="1"/>
  <c r="C3574" i="1"/>
  <c r="D3574" i="1"/>
  <c r="E3574" i="1"/>
  <c r="F3574" i="1"/>
  <c r="G3574" i="1"/>
  <c r="H3574" i="1"/>
  <c r="I3574" i="1"/>
  <c r="C3388" i="1"/>
  <c r="D3388" i="1"/>
  <c r="E3388" i="1"/>
  <c r="F3388" i="1"/>
  <c r="G3388" i="1"/>
  <c r="H3388" i="1"/>
  <c r="I3388" i="1"/>
  <c r="C407" i="1"/>
  <c r="D407" i="1"/>
  <c r="E407" i="1"/>
  <c r="F407" i="1"/>
  <c r="G407" i="1"/>
  <c r="H407" i="1"/>
  <c r="I407" i="1"/>
  <c r="C3458" i="1"/>
  <c r="D3458" i="1"/>
  <c r="E3458" i="1"/>
  <c r="F3458" i="1"/>
  <c r="G3458" i="1"/>
  <c r="H3458" i="1"/>
  <c r="I3458" i="1"/>
  <c r="C3389" i="1"/>
  <c r="D3389" i="1"/>
  <c r="E3389" i="1"/>
  <c r="F3389" i="1"/>
  <c r="G3389" i="1"/>
  <c r="H3389" i="1"/>
  <c r="I3389" i="1"/>
  <c r="C3750" i="1"/>
  <c r="D3750" i="1"/>
  <c r="E3750" i="1"/>
  <c r="F3750" i="1"/>
  <c r="G3750" i="1"/>
  <c r="H3750" i="1"/>
  <c r="I3750" i="1"/>
  <c r="C3108" i="1"/>
  <c r="D3108" i="1"/>
  <c r="E3108" i="1"/>
  <c r="F3108" i="1"/>
  <c r="G3108" i="1"/>
  <c r="H3108" i="1"/>
  <c r="I3108" i="1"/>
  <c r="C3575" i="1"/>
  <c r="D3575" i="1"/>
  <c r="E3575" i="1"/>
  <c r="F3575" i="1"/>
  <c r="G3575" i="1"/>
  <c r="H3575" i="1"/>
  <c r="I3575" i="1"/>
  <c r="C3459" i="1"/>
  <c r="D3459" i="1"/>
  <c r="E3459" i="1"/>
  <c r="F3459" i="1"/>
  <c r="G3459" i="1"/>
  <c r="H3459" i="1"/>
  <c r="I3459" i="1"/>
  <c r="C2856" i="1"/>
  <c r="D2856" i="1"/>
  <c r="E2856" i="1"/>
  <c r="F2856" i="1"/>
  <c r="G2856" i="1"/>
  <c r="H2856" i="1"/>
  <c r="I2856" i="1"/>
  <c r="C3176" i="1"/>
  <c r="D3176" i="1"/>
  <c r="E3176" i="1"/>
  <c r="F3176" i="1"/>
  <c r="G3176" i="1"/>
  <c r="H3176" i="1"/>
  <c r="I3176" i="1"/>
  <c r="C801" i="1"/>
  <c r="D801" i="1"/>
  <c r="E801" i="1"/>
  <c r="F801" i="1"/>
  <c r="G801" i="1"/>
  <c r="H801" i="1"/>
  <c r="I801" i="1"/>
  <c r="C3923" i="1"/>
  <c r="D3923" i="1"/>
  <c r="E3923" i="1"/>
  <c r="F3923" i="1"/>
  <c r="G3923" i="1"/>
  <c r="H3923" i="1"/>
  <c r="I3923" i="1"/>
  <c r="C3654" i="1"/>
  <c r="D3654" i="1"/>
  <c r="E3654" i="1"/>
  <c r="F3654" i="1"/>
  <c r="G3654" i="1"/>
  <c r="H3654" i="1"/>
  <c r="I3654" i="1"/>
  <c r="C3891" i="1"/>
  <c r="D3891" i="1"/>
  <c r="E3891" i="1"/>
  <c r="F3891" i="1"/>
  <c r="G3891" i="1"/>
  <c r="H3891" i="1"/>
  <c r="I3891" i="1"/>
  <c r="C1369" i="1"/>
  <c r="D1369" i="1"/>
  <c r="E1369" i="1"/>
  <c r="F1369" i="1"/>
  <c r="G1369" i="1"/>
  <c r="H1369" i="1"/>
  <c r="I1369" i="1"/>
  <c r="C4217" i="1"/>
  <c r="D4217" i="1"/>
  <c r="E4217" i="1"/>
  <c r="F4217" i="1"/>
  <c r="G4217" i="1"/>
  <c r="H4217" i="1"/>
  <c r="I4217" i="1"/>
  <c r="C4085" i="1"/>
  <c r="D4085" i="1"/>
  <c r="E4085" i="1"/>
  <c r="F4085" i="1"/>
  <c r="G4085" i="1"/>
  <c r="H4085" i="1"/>
  <c r="I4085" i="1"/>
  <c r="C4025" i="1"/>
  <c r="D4025" i="1"/>
  <c r="E4025" i="1"/>
  <c r="F4025" i="1"/>
  <c r="G4025" i="1"/>
  <c r="H4025" i="1"/>
  <c r="I4025" i="1"/>
  <c r="C928" i="1"/>
  <c r="D928" i="1"/>
  <c r="E928" i="1"/>
  <c r="F928" i="1"/>
  <c r="G928" i="1"/>
  <c r="H928" i="1"/>
  <c r="I928" i="1"/>
  <c r="C3989" i="1"/>
  <c r="D3989" i="1"/>
  <c r="E3989" i="1"/>
  <c r="F3989" i="1"/>
  <c r="G3989" i="1"/>
  <c r="H3989" i="1"/>
  <c r="I3989" i="1"/>
  <c r="C3198" i="1"/>
  <c r="D3198" i="1"/>
  <c r="E3198" i="1"/>
  <c r="F3198" i="1"/>
  <c r="G3198" i="1"/>
  <c r="H3198" i="1"/>
  <c r="I3198" i="1"/>
  <c r="C3704" i="1"/>
  <c r="D3704" i="1"/>
  <c r="E3704" i="1"/>
  <c r="F3704" i="1"/>
  <c r="G3704" i="1"/>
  <c r="H3704" i="1"/>
  <c r="I3704" i="1"/>
  <c r="C3200" i="1"/>
  <c r="D3200" i="1"/>
  <c r="E3200" i="1"/>
  <c r="F3200" i="1"/>
  <c r="G3200" i="1"/>
  <c r="H3200" i="1"/>
  <c r="I3200" i="1"/>
  <c r="C314" i="1"/>
  <c r="D314" i="1"/>
  <c r="E314" i="1"/>
  <c r="F314" i="1"/>
  <c r="G314" i="1"/>
  <c r="H314" i="1"/>
  <c r="I314" i="1"/>
  <c r="C4236" i="1"/>
  <c r="D4236" i="1"/>
  <c r="E4236" i="1"/>
  <c r="F4236" i="1"/>
  <c r="G4236" i="1"/>
  <c r="H4236" i="1"/>
  <c r="I4236" i="1"/>
  <c r="C2986" i="1"/>
  <c r="D2986" i="1"/>
  <c r="E2986" i="1"/>
  <c r="F2986" i="1"/>
  <c r="G2986" i="1"/>
  <c r="H2986" i="1"/>
  <c r="I2986" i="1"/>
  <c r="C3353" i="1"/>
  <c r="D3353" i="1"/>
  <c r="E3353" i="1"/>
  <c r="F3353" i="1"/>
  <c r="G3353" i="1"/>
  <c r="H3353" i="1"/>
  <c r="I3353" i="1"/>
  <c r="C164" i="1"/>
  <c r="D164" i="1"/>
  <c r="E164" i="1"/>
  <c r="F164" i="1"/>
  <c r="G164" i="1"/>
  <c r="H164" i="1"/>
  <c r="I164" i="1"/>
  <c r="C3199" i="1"/>
  <c r="D3199" i="1"/>
  <c r="E3199" i="1"/>
  <c r="F3199" i="1"/>
  <c r="G3199" i="1"/>
  <c r="H3199" i="1"/>
  <c r="I3199" i="1"/>
  <c r="C3405" i="1"/>
  <c r="D3405" i="1"/>
  <c r="E3405" i="1"/>
  <c r="F3405" i="1"/>
  <c r="G3405" i="1"/>
  <c r="H3405" i="1"/>
  <c r="I3405" i="1"/>
  <c r="C3271" i="1"/>
  <c r="D3271" i="1"/>
  <c r="E3271" i="1"/>
  <c r="F3271" i="1"/>
  <c r="G3271" i="1"/>
  <c r="H3271" i="1"/>
  <c r="I3271" i="1"/>
  <c r="C3244" i="1"/>
  <c r="D3244" i="1"/>
  <c r="E3244" i="1"/>
  <c r="F3244" i="1"/>
  <c r="G3244" i="1"/>
  <c r="H3244" i="1"/>
  <c r="I3244" i="1"/>
  <c r="C4315" i="1"/>
  <c r="D4315" i="1"/>
  <c r="E4315" i="1"/>
  <c r="F4315" i="1"/>
  <c r="G4315" i="1"/>
  <c r="H4315" i="1"/>
  <c r="I4315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C21" i="1"/>
  <c r="D21" i="1"/>
  <c r="E21" i="1"/>
  <c r="F21" i="1"/>
  <c r="G21" i="1"/>
  <c r="H21" i="1"/>
  <c r="I21" i="1"/>
  <c r="C51" i="1"/>
  <c r="D51" i="1"/>
  <c r="E51" i="1"/>
  <c r="F51" i="1"/>
  <c r="G51" i="1"/>
  <c r="H51" i="1"/>
  <c r="I51" i="1"/>
  <c r="C263" i="1"/>
  <c r="D263" i="1"/>
  <c r="E263" i="1"/>
  <c r="F263" i="1"/>
  <c r="G263" i="1"/>
  <c r="H263" i="1"/>
  <c r="I263" i="1"/>
  <c r="C731" i="1"/>
  <c r="D731" i="1"/>
  <c r="E731" i="1"/>
  <c r="F731" i="1"/>
  <c r="G731" i="1"/>
  <c r="H731" i="1"/>
  <c r="I731" i="1"/>
  <c r="C3356" i="1"/>
  <c r="D3356" i="1"/>
  <c r="E3356" i="1"/>
  <c r="F3356" i="1"/>
  <c r="G3356" i="1"/>
  <c r="H3356" i="1"/>
  <c r="I3356" i="1"/>
  <c r="C3536" i="1"/>
  <c r="D3536" i="1"/>
  <c r="E3536" i="1"/>
  <c r="F3536" i="1"/>
  <c r="G3536" i="1"/>
  <c r="H3536" i="1"/>
  <c r="I3536" i="1"/>
  <c r="C3040" i="1"/>
  <c r="D3040" i="1"/>
  <c r="E3040" i="1"/>
  <c r="F3040" i="1"/>
  <c r="G3040" i="1"/>
  <c r="H3040" i="1"/>
  <c r="I3040" i="1"/>
  <c r="C3538" i="1"/>
  <c r="D3538" i="1"/>
  <c r="E3538" i="1"/>
  <c r="F3538" i="1"/>
  <c r="G3538" i="1"/>
  <c r="H3538" i="1"/>
  <c r="I3538" i="1"/>
  <c r="C3543" i="1"/>
  <c r="D3543" i="1"/>
  <c r="E3543" i="1"/>
  <c r="F3543" i="1"/>
  <c r="G3543" i="1"/>
  <c r="H3543" i="1"/>
  <c r="I3543" i="1"/>
  <c r="C3406" i="1"/>
  <c r="D3406" i="1"/>
  <c r="E3406" i="1"/>
  <c r="F3406" i="1"/>
  <c r="G3406" i="1"/>
  <c r="H3406" i="1"/>
  <c r="I3406" i="1"/>
  <c r="C732" i="1"/>
  <c r="D732" i="1"/>
  <c r="E732" i="1"/>
  <c r="F732" i="1"/>
  <c r="G732" i="1"/>
  <c r="H732" i="1"/>
  <c r="I732" i="1"/>
  <c r="C3924" i="1"/>
  <c r="D3924" i="1"/>
  <c r="E3924" i="1"/>
  <c r="F3924" i="1"/>
  <c r="G3924" i="1"/>
  <c r="H3924" i="1"/>
  <c r="I3924" i="1"/>
  <c r="C3958" i="1"/>
  <c r="D3958" i="1"/>
  <c r="E3958" i="1"/>
  <c r="F3958" i="1"/>
  <c r="G3958" i="1"/>
  <c r="H3958" i="1"/>
  <c r="I3958" i="1"/>
  <c r="C4034" i="1"/>
  <c r="D4034" i="1"/>
  <c r="E4034" i="1"/>
  <c r="F4034" i="1"/>
  <c r="G4034" i="1"/>
  <c r="H4034" i="1"/>
  <c r="I4034" i="1"/>
  <c r="C559" i="1"/>
  <c r="D559" i="1"/>
  <c r="E559" i="1"/>
  <c r="F559" i="1"/>
  <c r="G559" i="1"/>
  <c r="H559" i="1"/>
  <c r="I559" i="1"/>
  <c r="C4224" i="1"/>
  <c r="D4224" i="1"/>
  <c r="E4224" i="1"/>
  <c r="F4224" i="1"/>
  <c r="G4224" i="1"/>
  <c r="H4224" i="1"/>
  <c r="I4224" i="1"/>
  <c r="C4316" i="1"/>
  <c r="D4316" i="1"/>
  <c r="E4316" i="1"/>
  <c r="F4316" i="1"/>
  <c r="G4316" i="1"/>
  <c r="H4316" i="1"/>
  <c r="I4316" i="1"/>
  <c r="C2801" i="1"/>
  <c r="D2801" i="1"/>
  <c r="E2801" i="1"/>
  <c r="F2801" i="1"/>
  <c r="G2801" i="1"/>
  <c r="H2801" i="1"/>
  <c r="I2801" i="1"/>
  <c r="C4317" i="1"/>
  <c r="D4317" i="1"/>
  <c r="E4317" i="1"/>
  <c r="F4317" i="1"/>
  <c r="G4317" i="1"/>
  <c r="H4317" i="1"/>
  <c r="I4317" i="1"/>
  <c r="C3637" i="1"/>
  <c r="D3637" i="1"/>
  <c r="E3637" i="1"/>
  <c r="F3637" i="1"/>
  <c r="G3637" i="1"/>
  <c r="H3637" i="1"/>
  <c r="I3637" i="1"/>
  <c r="C3460" i="1"/>
  <c r="D3460" i="1"/>
  <c r="E3460" i="1"/>
  <c r="F3460" i="1"/>
  <c r="G3460" i="1"/>
  <c r="H3460" i="1"/>
  <c r="I3460" i="1"/>
  <c r="C3130" i="1"/>
  <c r="D3130" i="1"/>
  <c r="E3130" i="1"/>
  <c r="F3130" i="1"/>
  <c r="G3130" i="1"/>
  <c r="H3130" i="1"/>
  <c r="I3130" i="1"/>
  <c r="C3109" i="1"/>
  <c r="D3109" i="1"/>
  <c r="E3109" i="1"/>
  <c r="F3109" i="1"/>
  <c r="G3109" i="1"/>
  <c r="H3109" i="1"/>
  <c r="I3109" i="1"/>
  <c r="C3041" i="1"/>
  <c r="D3041" i="1"/>
  <c r="E3041" i="1"/>
  <c r="F3041" i="1"/>
  <c r="G3041" i="1"/>
  <c r="H3041" i="1"/>
  <c r="I3041" i="1"/>
  <c r="C802" i="1"/>
  <c r="D802" i="1"/>
  <c r="E802" i="1"/>
  <c r="F802" i="1"/>
  <c r="G802" i="1"/>
  <c r="H802" i="1"/>
  <c r="I802" i="1"/>
  <c r="C3737" i="1"/>
  <c r="D3737" i="1"/>
  <c r="E3737" i="1"/>
  <c r="F3737" i="1"/>
  <c r="G3737" i="1"/>
  <c r="H3737" i="1"/>
  <c r="I3737" i="1"/>
  <c r="C4318" i="1"/>
  <c r="D4318" i="1"/>
  <c r="E4318" i="1"/>
  <c r="F4318" i="1"/>
  <c r="G4318" i="1"/>
  <c r="H4318" i="1"/>
  <c r="I4318" i="1"/>
  <c r="C3042" i="1"/>
  <c r="D3042" i="1"/>
  <c r="E3042" i="1"/>
  <c r="F3042" i="1"/>
  <c r="G3042" i="1"/>
  <c r="H3042" i="1"/>
  <c r="I3042" i="1"/>
  <c r="C52" i="1"/>
  <c r="D52" i="1"/>
  <c r="E52" i="1"/>
  <c r="F52" i="1"/>
  <c r="G52" i="1"/>
  <c r="H52" i="1"/>
  <c r="I52" i="1"/>
  <c r="C4319" i="1"/>
  <c r="D4319" i="1"/>
  <c r="E4319" i="1"/>
  <c r="F4319" i="1"/>
  <c r="G4319" i="1"/>
  <c r="H4319" i="1"/>
  <c r="I4319" i="1"/>
  <c r="C3245" i="1"/>
  <c r="D3245" i="1"/>
  <c r="E3245" i="1"/>
  <c r="F3245" i="1"/>
  <c r="G3245" i="1"/>
  <c r="H3245" i="1"/>
  <c r="I3245" i="1"/>
  <c r="C2281" i="1"/>
  <c r="D2281" i="1"/>
  <c r="E2281" i="1"/>
  <c r="F2281" i="1"/>
  <c r="G2281" i="1"/>
  <c r="H2281" i="1"/>
  <c r="I2281" i="1"/>
  <c r="C4320" i="1"/>
  <c r="D4320" i="1"/>
  <c r="E4320" i="1"/>
  <c r="F4320" i="1"/>
  <c r="G4320" i="1"/>
  <c r="H4320" i="1"/>
  <c r="I4320" i="1"/>
  <c r="C4321" i="1"/>
  <c r="D4321" i="1"/>
  <c r="E4321" i="1"/>
  <c r="F4321" i="1"/>
  <c r="G4321" i="1"/>
  <c r="H4321" i="1"/>
  <c r="I4321" i="1"/>
  <c r="C264" i="1"/>
  <c r="D264" i="1"/>
  <c r="E264" i="1"/>
  <c r="F264" i="1"/>
  <c r="G264" i="1"/>
  <c r="H264" i="1"/>
  <c r="I264" i="1"/>
  <c r="C116" i="1"/>
  <c r="D116" i="1"/>
  <c r="E116" i="1"/>
  <c r="F116" i="1"/>
  <c r="G116" i="1"/>
  <c r="H116" i="1"/>
  <c r="I116" i="1"/>
  <c r="C229" i="1"/>
  <c r="D229" i="1"/>
  <c r="E229" i="1"/>
  <c r="F229" i="1"/>
  <c r="G229" i="1"/>
  <c r="H229" i="1"/>
  <c r="I229" i="1"/>
  <c r="C80" i="1"/>
  <c r="D80" i="1"/>
  <c r="E80" i="1"/>
  <c r="F80" i="1"/>
  <c r="G80" i="1"/>
  <c r="H80" i="1"/>
  <c r="I80" i="1"/>
  <c r="C53" i="1"/>
  <c r="D53" i="1"/>
  <c r="E53" i="1"/>
  <c r="F53" i="1"/>
  <c r="G53" i="1"/>
  <c r="H53" i="1"/>
  <c r="I53" i="1"/>
  <c r="C81" i="1"/>
  <c r="D81" i="1"/>
  <c r="E81" i="1"/>
  <c r="F81" i="1"/>
  <c r="G81" i="1"/>
  <c r="H81" i="1"/>
  <c r="I81" i="1"/>
  <c r="C2027" i="1"/>
  <c r="D2027" i="1"/>
  <c r="E2027" i="1"/>
  <c r="F2027" i="1"/>
  <c r="G2027" i="1"/>
  <c r="H2027" i="1"/>
  <c r="I2027" i="1"/>
  <c r="C2535" i="1"/>
  <c r="D2535" i="1"/>
  <c r="E2535" i="1"/>
  <c r="F2535" i="1"/>
  <c r="G2535" i="1"/>
  <c r="H2535" i="1"/>
  <c r="I2535" i="1"/>
  <c r="C929" i="1"/>
  <c r="D929" i="1"/>
  <c r="E929" i="1"/>
  <c r="F929" i="1"/>
  <c r="G929" i="1"/>
  <c r="H929" i="1"/>
  <c r="I929" i="1"/>
  <c r="C3325" i="1"/>
  <c r="D3325" i="1"/>
  <c r="E3325" i="1"/>
  <c r="F3325" i="1"/>
  <c r="G3325" i="1"/>
  <c r="H3325" i="1"/>
  <c r="I3325" i="1"/>
  <c r="C2941" i="1"/>
  <c r="D2941" i="1"/>
  <c r="E2941" i="1"/>
  <c r="F2941" i="1"/>
  <c r="G2941" i="1"/>
  <c r="H2941" i="1"/>
  <c r="I2941" i="1"/>
  <c r="C675" i="1"/>
  <c r="D675" i="1"/>
  <c r="E675" i="1"/>
  <c r="F675" i="1"/>
  <c r="G675" i="1"/>
  <c r="H675" i="1"/>
  <c r="I675" i="1"/>
  <c r="C1756" i="1"/>
  <c r="D1756" i="1"/>
  <c r="E1756" i="1"/>
  <c r="F1756" i="1"/>
  <c r="G1756" i="1"/>
  <c r="H1756" i="1"/>
  <c r="I1756" i="1"/>
  <c r="C2070" i="1"/>
  <c r="D2070" i="1"/>
  <c r="E2070" i="1"/>
  <c r="F2070" i="1"/>
  <c r="G2070" i="1"/>
  <c r="H2070" i="1"/>
  <c r="I2070" i="1"/>
  <c r="C930" i="1"/>
  <c r="D930" i="1"/>
  <c r="E930" i="1"/>
  <c r="F930" i="1"/>
  <c r="G930" i="1"/>
  <c r="H930" i="1"/>
  <c r="I930" i="1"/>
  <c r="C26" i="1"/>
  <c r="D26" i="1"/>
  <c r="E26" i="1"/>
  <c r="F26" i="1"/>
  <c r="G26" i="1"/>
  <c r="H26" i="1"/>
  <c r="I26" i="1"/>
  <c r="C676" i="1"/>
  <c r="D676" i="1"/>
  <c r="E676" i="1"/>
  <c r="F676" i="1"/>
  <c r="G676" i="1"/>
  <c r="H676" i="1"/>
  <c r="I676" i="1"/>
  <c r="C2028" i="1"/>
  <c r="D2028" i="1"/>
  <c r="E2028" i="1"/>
  <c r="F2028" i="1"/>
  <c r="G2028" i="1"/>
  <c r="H2028" i="1"/>
  <c r="I2028" i="1"/>
  <c r="C1475" i="1"/>
  <c r="D1475" i="1"/>
  <c r="E1475" i="1"/>
  <c r="F1475" i="1"/>
  <c r="G1475" i="1"/>
  <c r="H1475" i="1"/>
  <c r="I1475" i="1"/>
  <c r="C2572" i="1"/>
  <c r="D2572" i="1"/>
  <c r="E2572" i="1"/>
  <c r="F2572" i="1"/>
  <c r="G2572" i="1"/>
  <c r="H2572" i="1"/>
  <c r="I2572" i="1"/>
  <c r="C1604" i="1"/>
  <c r="D1604" i="1"/>
  <c r="E1604" i="1"/>
  <c r="F1604" i="1"/>
  <c r="G1604" i="1"/>
  <c r="H1604" i="1"/>
  <c r="I1604" i="1"/>
  <c r="C1476" i="1"/>
  <c r="D1476" i="1"/>
  <c r="E1476" i="1"/>
  <c r="F1476" i="1"/>
  <c r="G1476" i="1"/>
  <c r="H1476" i="1"/>
  <c r="I1476" i="1"/>
  <c r="C1477" i="1"/>
  <c r="D1477" i="1"/>
  <c r="E1477" i="1"/>
  <c r="F1477" i="1"/>
  <c r="G1477" i="1"/>
  <c r="H1477" i="1"/>
  <c r="I1477" i="1"/>
  <c r="C1605" i="1"/>
  <c r="D1605" i="1"/>
  <c r="E1605" i="1"/>
  <c r="F1605" i="1"/>
  <c r="G1605" i="1"/>
  <c r="H1605" i="1"/>
  <c r="I1605" i="1"/>
  <c r="C1342" i="1"/>
  <c r="D1342" i="1"/>
  <c r="E1342" i="1"/>
  <c r="F1342" i="1"/>
  <c r="G1342" i="1"/>
  <c r="H1342" i="1"/>
  <c r="I1342" i="1"/>
  <c r="C1606" i="1"/>
  <c r="D1606" i="1"/>
  <c r="E1606" i="1"/>
  <c r="F1606" i="1"/>
  <c r="G1606" i="1"/>
  <c r="H1606" i="1"/>
  <c r="I1606" i="1"/>
  <c r="C1757" i="1"/>
  <c r="D1757" i="1"/>
  <c r="E1757" i="1"/>
  <c r="F1757" i="1"/>
  <c r="G1757" i="1"/>
  <c r="H1757" i="1"/>
  <c r="I1757" i="1"/>
  <c r="C1758" i="1"/>
  <c r="D1758" i="1"/>
  <c r="E1758" i="1"/>
  <c r="F1758" i="1"/>
  <c r="G1758" i="1"/>
  <c r="H1758" i="1"/>
  <c r="I1758" i="1"/>
  <c r="C4057" i="1"/>
  <c r="D4057" i="1"/>
  <c r="E4057" i="1"/>
  <c r="F4057" i="1"/>
  <c r="G4057" i="1"/>
  <c r="H4057" i="1"/>
  <c r="I4057" i="1"/>
  <c r="C1204" i="1"/>
  <c r="D1204" i="1"/>
  <c r="E1204" i="1"/>
  <c r="F1204" i="1"/>
  <c r="G1204" i="1"/>
  <c r="H1204" i="1"/>
  <c r="I1204" i="1"/>
  <c r="C1478" i="1"/>
  <c r="D1478" i="1"/>
  <c r="E1478" i="1"/>
  <c r="F1478" i="1"/>
  <c r="G1478" i="1"/>
  <c r="H1478" i="1"/>
  <c r="I1478" i="1"/>
  <c r="C1759" i="1"/>
  <c r="D1759" i="1"/>
  <c r="E1759" i="1"/>
  <c r="F1759" i="1"/>
  <c r="G1759" i="1"/>
  <c r="H1759" i="1"/>
  <c r="I1759" i="1"/>
  <c r="C1760" i="1"/>
  <c r="D1760" i="1"/>
  <c r="E1760" i="1"/>
  <c r="F1760" i="1"/>
  <c r="G1760" i="1"/>
  <c r="H1760" i="1"/>
  <c r="I1760" i="1"/>
  <c r="C1761" i="1"/>
  <c r="D1761" i="1"/>
  <c r="E1761" i="1"/>
  <c r="F1761" i="1"/>
  <c r="G1761" i="1"/>
  <c r="H1761" i="1"/>
  <c r="I1761" i="1"/>
  <c r="C1343" i="1"/>
  <c r="D1343" i="1"/>
  <c r="E1343" i="1"/>
  <c r="F1343" i="1"/>
  <c r="G1343" i="1"/>
  <c r="H1343" i="1"/>
  <c r="I1343" i="1"/>
  <c r="C1205" i="1"/>
  <c r="D1205" i="1"/>
  <c r="E1205" i="1"/>
  <c r="F1205" i="1"/>
  <c r="G1205" i="1"/>
  <c r="H1205" i="1"/>
  <c r="I1205" i="1"/>
  <c r="C1890" i="1"/>
  <c r="D1890" i="1"/>
  <c r="E1890" i="1"/>
  <c r="F1890" i="1"/>
  <c r="G1890" i="1"/>
  <c r="H1890" i="1"/>
  <c r="I1890" i="1"/>
  <c r="C1607" i="1"/>
  <c r="D1607" i="1"/>
  <c r="E1607" i="1"/>
  <c r="F1607" i="1"/>
  <c r="G1607" i="1"/>
  <c r="H1607" i="1"/>
  <c r="I1607" i="1"/>
  <c r="C1066" i="1"/>
  <c r="D1066" i="1"/>
  <c r="E1066" i="1"/>
  <c r="F1066" i="1"/>
  <c r="G1066" i="1"/>
  <c r="H1066" i="1"/>
  <c r="I1066" i="1"/>
  <c r="C733" i="1"/>
  <c r="D733" i="1"/>
  <c r="E733" i="1"/>
  <c r="F733" i="1"/>
  <c r="G733" i="1"/>
  <c r="H733" i="1"/>
  <c r="I733" i="1"/>
  <c r="C1067" i="1"/>
  <c r="D1067" i="1"/>
  <c r="E1067" i="1"/>
  <c r="F1067" i="1"/>
  <c r="G1067" i="1"/>
  <c r="H1067" i="1"/>
  <c r="I1067" i="1"/>
  <c r="C734" i="1"/>
  <c r="D734" i="1"/>
  <c r="E734" i="1"/>
  <c r="F734" i="1"/>
  <c r="G734" i="1"/>
  <c r="H734" i="1"/>
  <c r="I734" i="1"/>
  <c r="C735" i="1"/>
  <c r="D735" i="1"/>
  <c r="E735" i="1"/>
  <c r="F735" i="1"/>
  <c r="G735" i="1"/>
  <c r="H735" i="1"/>
  <c r="I735" i="1"/>
  <c r="C1068" i="1"/>
  <c r="D1068" i="1"/>
  <c r="E1068" i="1"/>
  <c r="F1068" i="1"/>
  <c r="G1068" i="1"/>
  <c r="H1068" i="1"/>
  <c r="I1068" i="1"/>
  <c r="C803" i="1"/>
  <c r="D803" i="1"/>
  <c r="E803" i="1"/>
  <c r="F803" i="1"/>
  <c r="G803" i="1"/>
  <c r="H803" i="1"/>
  <c r="I803" i="1"/>
  <c r="C804" i="1"/>
  <c r="D804" i="1"/>
  <c r="E804" i="1"/>
  <c r="F804" i="1"/>
  <c r="G804" i="1"/>
  <c r="H804" i="1"/>
  <c r="I804" i="1"/>
  <c r="C805" i="1"/>
  <c r="D805" i="1"/>
  <c r="E805" i="1"/>
  <c r="F805" i="1"/>
  <c r="G805" i="1"/>
  <c r="H805" i="1"/>
  <c r="I805" i="1"/>
  <c r="C806" i="1"/>
  <c r="D806" i="1"/>
  <c r="E806" i="1"/>
  <c r="F806" i="1"/>
  <c r="G806" i="1"/>
  <c r="H806" i="1"/>
  <c r="I806" i="1"/>
  <c r="C1206" i="1"/>
  <c r="D1206" i="1"/>
  <c r="E1206" i="1"/>
  <c r="F1206" i="1"/>
  <c r="G1206" i="1"/>
  <c r="H1206" i="1"/>
  <c r="I1206" i="1"/>
  <c r="C807" i="1"/>
  <c r="D807" i="1"/>
  <c r="E807" i="1"/>
  <c r="F807" i="1"/>
  <c r="G807" i="1"/>
  <c r="H807" i="1"/>
  <c r="I807" i="1"/>
  <c r="C507" i="1"/>
  <c r="D507" i="1"/>
  <c r="E507" i="1"/>
  <c r="F507" i="1"/>
  <c r="G507" i="1"/>
  <c r="H507" i="1"/>
  <c r="I507" i="1"/>
  <c r="C450" i="1"/>
  <c r="D450" i="1"/>
  <c r="E450" i="1"/>
  <c r="F450" i="1"/>
  <c r="G450" i="1"/>
  <c r="H450" i="1"/>
  <c r="I450" i="1"/>
  <c r="C628" i="1"/>
  <c r="D628" i="1"/>
  <c r="E628" i="1"/>
  <c r="F628" i="1"/>
  <c r="G628" i="1"/>
  <c r="H628" i="1"/>
  <c r="I628" i="1"/>
  <c r="C629" i="1"/>
  <c r="D629" i="1"/>
  <c r="E629" i="1"/>
  <c r="F629" i="1"/>
  <c r="G629" i="1"/>
  <c r="H629" i="1"/>
  <c r="I629" i="1"/>
  <c r="C451" i="1"/>
  <c r="D451" i="1"/>
  <c r="E451" i="1"/>
  <c r="F451" i="1"/>
  <c r="G451" i="1"/>
  <c r="H451" i="1"/>
  <c r="I451" i="1"/>
  <c r="C391" i="1"/>
  <c r="D391" i="1"/>
  <c r="E391" i="1"/>
  <c r="F391" i="1"/>
  <c r="G391" i="1"/>
  <c r="H391" i="1"/>
  <c r="I391" i="1"/>
  <c r="C2536" i="1"/>
  <c r="D2536" i="1"/>
  <c r="E2536" i="1"/>
  <c r="F2536" i="1"/>
  <c r="G2536" i="1"/>
  <c r="H2536" i="1"/>
  <c r="I2536" i="1"/>
  <c r="C82" i="1"/>
  <c r="D82" i="1"/>
  <c r="E82" i="1"/>
  <c r="F82" i="1"/>
  <c r="G82" i="1"/>
  <c r="H82" i="1"/>
  <c r="I82" i="1"/>
  <c r="C3638" i="1"/>
  <c r="D3638" i="1"/>
  <c r="E3638" i="1"/>
  <c r="F3638" i="1"/>
  <c r="G3638" i="1"/>
  <c r="H3638" i="1"/>
  <c r="I3638" i="1"/>
  <c r="C2759" i="1"/>
  <c r="D2759" i="1"/>
  <c r="E2759" i="1"/>
  <c r="F2759" i="1"/>
  <c r="G2759" i="1"/>
  <c r="H2759" i="1"/>
  <c r="I2759" i="1"/>
  <c r="C2760" i="1"/>
  <c r="D2760" i="1"/>
  <c r="E2760" i="1"/>
  <c r="F2760" i="1"/>
  <c r="G2760" i="1"/>
  <c r="H2760" i="1"/>
  <c r="I2760" i="1"/>
  <c r="C3246" i="1"/>
  <c r="D3246" i="1"/>
  <c r="E3246" i="1"/>
  <c r="F3246" i="1"/>
  <c r="G3246" i="1"/>
  <c r="H3246" i="1"/>
  <c r="I3246" i="1"/>
  <c r="C1891" i="1"/>
  <c r="D1891" i="1"/>
  <c r="E1891" i="1"/>
  <c r="F1891" i="1"/>
  <c r="G1891" i="1"/>
  <c r="H1891" i="1"/>
  <c r="I1891" i="1"/>
  <c r="C1479" i="1"/>
  <c r="D1479" i="1"/>
  <c r="E1479" i="1"/>
  <c r="F1479" i="1"/>
  <c r="G1479" i="1"/>
  <c r="H1479" i="1"/>
  <c r="I1479" i="1"/>
  <c r="C1892" i="1"/>
  <c r="D1892" i="1"/>
  <c r="E1892" i="1"/>
  <c r="F1892" i="1"/>
  <c r="G1892" i="1"/>
  <c r="H1892" i="1"/>
  <c r="I1892" i="1"/>
  <c r="C1893" i="1"/>
  <c r="D1893" i="1"/>
  <c r="E1893" i="1"/>
  <c r="F1893" i="1"/>
  <c r="G1893" i="1"/>
  <c r="H1893" i="1"/>
  <c r="I1893" i="1"/>
  <c r="C1608" i="1"/>
  <c r="D1608" i="1"/>
  <c r="E1608" i="1"/>
  <c r="F1608" i="1"/>
  <c r="G1608" i="1"/>
  <c r="H1608" i="1"/>
  <c r="I1608" i="1"/>
  <c r="C1480" i="1"/>
  <c r="D1480" i="1"/>
  <c r="E1480" i="1"/>
  <c r="F1480" i="1"/>
  <c r="G1480" i="1"/>
  <c r="H1480" i="1"/>
  <c r="I1480" i="1"/>
  <c r="C1762" i="1"/>
  <c r="D1762" i="1"/>
  <c r="E1762" i="1"/>
  <c r="F1762" i="1"/>
  <c r="G1762" i="1"/>
  <c r="H1762" i="1"/>
  <c r="I1762" i="1"/>
  <c r="C1609" i="1"/>
  <c r="D1609" i="1"/>
  <c r="E1609" i="1"/>
  <c r="F1609" i="1"/>
  <c r="G1609" i="1"/>
  <c r="H1609" i="1"/>
  <c r="I1609" i="1"/>
  <c r="C1610" i="1"/>
  <c r="D1610" i="1"/>
  <c r="E1610" i="1"/>
  <c r="F1610" i="1"/>
  <c r="G1610" i="1"/>
  <c r="H1610" i="1"/>
  <c r="I1610" i="1"/>
  <c r="C1611" i="1"/>
  <c r="D1611" i="1"/>
  <c r="E1611" i="1"/>
  <c r="F1611" i="1"/>
  <c r="G1611" i="1"/>
  <c r="H1611" i="1"/>
  <c r="I1611" i="1"/>
  <c r="C1481" i="1"/>
  <c r="D1481" i="1"/>
  <c r="E1481" i="1"/>
  <c r="F1481" i="1"/>
  <c r="G1481" i="1"/>
  <c r="H1481" i="1"/>
  <c r="I1481" i="1"/>
  <c r="C2147" i="1"/>
  <c r="D2147" i="1"/>
  <c r="E2147" i="1"/>
  <c r="F2147" i="1"/>
  <c r="G2147" i="1"/>
  <c r="H2147" i="1"/>
  <c r="I2147" i="1"/>
  <c r="C1763" i="1"/>
  <c r="D1763" i="1"/>
  <c r="E1763" i="1"/>
  <c r="F1763" i="1"/>
  <c r="G1763" i="1"/>
  <c r="H1763" i="1"/>
  <c r="I1763" i="1"/>
  <c r="C1894" i="1"/>
  <c r="D1894" i="1"/>
  <c r="E1894" i="1"/>
  <c r="F1894" i="1"/>
  <c r="G1894" i="1"/>
  <c r="H1894" i="1"/>
  <c r="I1894" i="1"/>
  <c r="C1482" i="1"/>
  <c r="D1482" i="1"/>
  <c r="E1482" i="1"/>
  <c r="F1482" i="1"/>
  <c r="G1482" i="1"/>
  <c r="H1482" i="1"/>
  <c r="I1482" i="1"/>
  <c r="C808" i="1"/>
  <c r="D808" i="1"/>
  <c r="E808" i="1"/>
  <c r="F808" i="1"/>
  <c r="G808" i="1"/>
  <c r="H808" i="1"/>
  <c r="I808" i="1"/>
  <c r="C352" i="1"/>
  <c r="D352" i="1"/>
  <c r="E352" i="1"/>
  <c r="F352" i="1"/>
  <c r="G352" i="1"/>
  <c r="H352" i="1"/>
  <c r="I352" i="1"/>
  <c r="C392" i="1"/>
  <c r="D392" i="1"/>
  <c r="E392" i="1"/>
  <c r="F392" i="1"/>
  <c r="G392" i="1"/>
  <c r="H392" i="1"/>
  <c r="I392" i="1"/>
  <c r="C393" i="1"/>
  <c r="D393" i="1"/>
  <c r="E393" i="1"/>
  <c r="F393" i="1"/>
  <c r="G393" i="1"/>
  <c r="H393" i="1"/>
  <c r="I393" i="1"/>
  <c r="C452" i="1"/>
  <c r="D452" i="1"/>
  <c r="E452" i="1"/>
  <c r="F452" i="1"/>
  <c r="G452" i="1"/>
  <c r="H452" i="1"/>
  <c r="I452" i="1"/>
  <c r="C508" i="1"/>
  <c r="D508" i="1"/>
  <c r="E508" i="1"/>
  <c r="F508" i="1"/>
  <c r="G508" i="1"/>
  <c r="H508" i="1"/>
  <c r="I508" i="1"/>
  <c r="C560" i="1"/>
  <c r="D560" i="1"/>
  <c r="E560" i="1"/>
  <c r="F560" i="1"/>
  <c r="G560" i="1"/>
  <c r="H560" i="1"/>
  <c r="I560" i="1"/>
  <c r="C561" i="1"/>
  <c r="D561" i="1"/>
  <c r="E561" i="1"/>
  <c r="F561" i="1"/>
  <c r="G561" i="1"/>
  <c r="H561" i="1"/>
  <c r="I561" i="1"/>
  <c r="C562" i="1"/>
  <c r="D562" i="1"/>
  <c r="E562" i="1"/>
  <c r="F562" i="1"/>
  <c r="G562" i="1"/>
  <c r="H562" i="1"/>
  <c r="I562" i="1"/>
  <c r="C563" i="1"/>
  <c r="D563" i="1"/>
  <c r="E563" i="1"/>
  <c r="F563" i="1"/>
  <c r="G563" i="1"/>
  <c r="H563" i="1"/>
  <c r="I563" i="1"/>
  <c r="C564" i="1"/>
  <c r="D564" i="1"/>
  <c r="E564" i="1"/>
  <c r="F564" i="1"/>
  <c r="G564" i="1"/>
  <c r="H564" i="1"/>
  <c r="I564" i="1"/>
  <c r="C630" i="1"/>
  <c r="D630" i="1"/>
  <c r="E630" i="1"/>
  <c r="F630" i="1"/>
  <c r="G630" i="1"/>
  <c r="H630" i="1"/>
  <c r="I630" i="1"/>
  <c r="C631" i="1"/>
  <c r="D631" i="1"/>
  <c r="E631" i="1"/>
  <c r="F631" i="1"/>
  <c r="G631" i="1"/>
  <c r="H631" i="1"/>
  <c r="I631" i="1"/>
  <c r="C677" i="1"/>
  <c r="D677" i="1"/>
  <c r="E677" i="1"/>
  <c r="F677" i="1"/>
  <c r="G677" i="1"/>
  <c r="H677" i="1"/>
  <c r="I677" i="1"/>
  <c r="C678" i="1"/>
  <c r="D678" i="1"/>
  <c r="E678" i="1"/>
  <c r="F678" i="1"/>
  <c r="G678" i="1"/>
  <c r="H678" i="1"/>
  <c r="I678" i="1"/>
  <c r="C679" i="1"/>
  <c r="D679" i="1"/>
  <c r="E679" i="1"/>
  <c r="F679" i="1"/>
  <c r="G679" i="1"/>
  <c r="H679" i="1"/>
  <c r="I679" i="1"/>
  <c r="C680" i="1"/>
  <c r="D680" i="1"/>
  <c r="E680" i="1"/>
  <c r="F680" i="1"/>
  <c r="G680" i="1"/>
  <c r="H680" i="1"/>
  <c r="I680" i="1"/>
  <c r="C681" i="1"/>
  <c r="D681" i="1"/>
  <c r="E681" i="1"/>
  <c r="F681" i="1"/>
  <c r="G681" i="1"/>
  <c r="H681" i="1"/>
  <c r="I681" i="1"/>
  <c r="C682" i="1"/>
  <c r="D682" i="1"/>
  <c r="E682" i="1"/>
  <c r="F682" i="1"/>
  <c r="G682" i="1"/>
  <c r="H682" i="1"/>
  <c r="I682" i="1"/>
  <c r="C683" i="1"/>
  <c r="D683" i="1"/>
  <c r="E683" i="1"/>
  <c r="F683" i="1"/>
  <c r="G683" i="1"/>
  <c r="H683" i="1"/>
  <c r="I683" i="1"/>
  <c r="C684" i="1"/>
  <c r="D684" i="1"/>
  <c r="E684" i="1"/>
  <c r="F684" i="1"/>
  <c r="G684" i="1"/>
  <c r="H684" i="1"/>
  <c r="I684" i="1"/>
  <c r="C736" i="1"/>
  <c r="D736" i="1"/>
  <c r="E736" i="1"/>
  <c r="F736" i="1"/>
  <c r="G736" i="1"/>
  <c r="H736" i="1"/>
  <c r="I736" i="1"/>
  <c r="C737" i="1"/>
  <c r="D737" i="1"/>
  <c r="E737" i="1"/>
  <c r="F737" i="1"/>
  <c r="G737" i="1"/>
  <c r="H737" i="1"/>
  <c r="I737" i="1"/>
  <c r="C738" i="1"/>
  <c r="D738" i="1"/>
  <c r="E738" i="1"/>
  <c r="F738" i="1"/>
  <c r="G738" i="1"/>
  <c r="H738" i="1"/>
  <c r="I738" i="1"/>
  <c r="C2074" i="1"/>
  <c r="D2074" i="1"/>
  <c r="E2074" i="1"/>
  <c r="F2074" i="1"/>
  <c r="G2074" i="1"/>
  <c r="H2074" i="1"/>
  <c r="I2074" i="1"/>
  <c r="C809" i="1"/>
  <c r="D809" i="1"/>
  <c r="E809" i="1"/>
  <c r="F809" i="1"/>
  <c r="G809" i="1"/>
  <c r="H809" i="1"/>
  <c r="I809" i="1"/>
  <c r="C931" i="1"/>
  <c r="D931" i="1"/>
  <c r="E931" i="1"/>
  <c r="F931" i="1"/>
  <c r="G931" i="1"/>
  <c r="H931" i="1"/>
  <c r="I931" i="1"/>
  <c r="C932" i="1"/>
  <c r="D932" i="1"/>
  <c r="E932" i="1"/>
  <c r="F932" i="1"/>
  <c r="G932" i="1"/>
  <c r="H932" i="1"/>
  <c r="I932" i="1"/>
  <c r="C933" i="1"/>
  <c r="D933" i="1"/>
  <c r="E933" i="1"/>
  <c r="F933" i="1"/>
  <c r="G933" i="1"/>
  <c r="H933" i="1"/>
  <c r="I933" i="1"/>
  <c r="C1069" i="1"/>
  <c r="D1069" i="1"/>
  <c r="E1069" i="1"/>
  <c r="F1069" i="1"/>
  <c r="G1069" i="1"/>
  <c r="H1069" i="1"/>
  <c r="I1069" i="1"/>
  <c r="C1070" i="1"/>
  <c r="D1070" i="1"/>
  <c r="E1070" i="1"/>
  <c r="F1070" i="1"/>
  <c r="G1070" i="1"/>
  <c r="H1070" i="1"/>
  <c r="I1070" i="1"/>
  <c r="C1071" i="1"/>
  <c r="D1071" i="1"/>
  <c r="E1071" i="1"/>
  <c r="F1071" i="1"/>
  <c r="G1071" i="1"/>
  <c r="H1071" i="1"/>
  <c r="I1071" i="1"/>
  <c r="C1072" i="1"/>
  <c r="D1072" i="1"/>
  <c r="E1072" i="1"/>
  <c r="F1072" i="1"/>
  <c r="G1072" i="1"/>
  <c r="H1072" i="1"/>
  <c r="I1072" i="1"/>
  <c r="C1073" i="1"/>
  <c r="D1073" i="1"/>
  <c r="E1073" i="1"/>
  <c r="F1073" i="1"/>
  <c r="G1073" i="1"/>
  <c r="H1073" i="1"/>
  <c r="I1073" i="1"/>
  <c r="C1207" i="1"/>
  <c r="D1207" i="1"/>
  <c r="E1207" i="1"/>
  <c r="F1207" i="1"/>
  <c r="G1207" i="1"/>
  <c r="H1207" i="1"/>
  <c r="I1207" i="1"/>
  <c r="C1208" i="1"/>
  <c r="D1208" i="1"/>
  <c r="E1208" i="1"/>
  <c r="F1208" i="1"/>
  <c r="G1208" i="1"/>
  <c r="H1208" i="1"/>
  <c r="I1208" i="1"/>
  <c r="C1209" i="1"/>
  <c r="D1209" i="1"/>
  <c r="E1209" i="1"/>
  <c r="F1209" i="1"/>
  <c r="G1209" i="1"/>
  <c r="H1209" i="1"/>
  <c r="I1209" i="1"/>
  <c r="C1210" i="1"/>
  <c r="D1210" i="1"/>
  <c r="E1210" i="1"/>
  <c r="F1210" i="1"/>
  <c r="G1210" i="1"/>
  <c r="H1210" i="1"/>
  <c r="I1210" i="1"/>
  <c r="C1344" i="1"/>
  <c r="D1344" i="1"/>
  <c r="E1344" i="1"/>
  <c r="F1344" i="1"/>
  <c r="G1344" i="1"/>
  <c r="H1344" i="1"/>
  <c r="I1344" i="1"/>
  <c r="C1483" i="1"/>
  <c r="D1483" i="1"/>
  <c r="E1483" i="1"/>
  <c r="F1483" i="1"/>
  <c r="G1483" i="1"/>
  <c r="H1483" i="1"/>
  <c r="I1483" i="1"/>
  <c r="C1484" i="1"/>
  <c r="D1484" i="1"/>
  <c r="E1484" i="1"/>
  <c r="F1484" i="1"/>
  <c r="G1484" i="1"/>
  <c r="H1484" i="1"/>
  <c r="I1484" i="1"/>
  <c r="C1612" i="1"/>
  <c r="D1612" i="1"/>
  <c r="E1612" i="1"/>
  <c r="F1612" i="1"/>
  <c r="G1612" i="1"/>
  <c r="H1612" i="1"/>
  <c r="I1612" i="1"/>
  <c r="C1613" i="1"/>
  <c r="D1613" i="1"/>
  <c r="E1613" i="1"/>
  <c r="F1613" i="1"/>
  <c r="G1613" i="1"/>
  <c r="H1613" i="1"/>
  <c r="I1613" i="1"/>
  <c r="C1614" i="1"/>
  <c r="D1614" i="1"/>
  <c r="E1614" i="1"/>
  <c r="F1614" i="1"/>
  <c r="G1614" i="1"/>
  <c r="H1614" i="1"/>
  <c r="I1614" i="1"/>
  <c r="C1615" i="1"/>
  <c r="D1615" i="1"/>
  <c r="E1615" i="1"/>
  <c r="F1615" i="1"/>
  <c r="G1615" i="1"/>
  <c r="H1615" i="1"/>
  <c r="I1615" i="1"/>
  <c r="C1616" i="1"/>
  <c r="D1616" i="1"/>
  <c r="E1616" i="1"/>
  <c r="F1616" i="1"/>
  <c r="G1616" i="1"/>
  <c r="H1616" i="1"/>
  <c r="I1616" i="1"/>
  <c r="C1764" i="1"/>
  <c r="D1764" i="1"/>
  <c r="E1764" i="1"/>
  <c r="F1764" i="1"/>
  <c r="G1764" i="1"/>
  <c r="H1764" i="1"/>
  <c r="I1764" i="1"/>
  <c r="C1765" i="1"/>
  <c r="D1765" i="1"/>
  <c r="E1765" i="1"/>
  <c r="F1765" i="1"/>
  <c r="G1765" i="1"/>
  <c r="H1765" i="1"/>
  <c r="I1765" i="1"/>
  <c r="C1766" i="1"/>
  <c r="D1766" i="1"/>
  <c r="E1766" i="1"/>
  <c r="F1766" i="1"/>
  <c r="G1766" i="1"/>
  <c r="H1766" i="1"/>
  <c r="I1766" i="1"/>
  <c r="C1767" i="1"/>
  <c r="D1767" i="1"/>
  <c r="E1767" i="1"/>
  <c r="F1767" i="1"/>
  <c r="G1767" i="1"/>
  <c r="H1767" i="1"/>
  <c r="I1767" i="1"/>
  <c r="C1768" i="1"/>
  <c r="D1768" i="1"/>
  <c r="E1768" i="1"/>
  <c r="F1768" i="1"/>
  <c r="G1768" i="1"/>
  <c r="H1768" i="1"/>
  <c r="I1768" i="1"/>
  <c r="C1769" i="1"/>
  <c r="D1769" i="1"/>
  <c r="E1769" i="1"/>
  <c r="F1769" i="1"/>
  <c r="G1769" i="1"/>
  <c r="H1769" i="1"/>
  <c r="I1769" i="1"/>
  <c r="C1770" i="1"/>
  <c r="D1770" i="1"/>
  <c r="E1770" i="1"/>
  <c r="F1770" i="1"/>
  <c r="G1770" i="1"/>
  <c r="H1770" i="1"/>
  <c r="I1770" i="1"/>
  <c r="C1771" i="1"/>
  <c r="D1771" i="1"/>
  <c r="E1771" i="1"/>
  <c r="F1771" i="1"/>
  <c r="G1771" i="1"/>
  <c r="H1771" i="1"/>
  <c r="I1771" i="1"/>
  <c r="C1772" i="1"/>
  <c r="D1772" i="1"/>
  <c r="E1772" i="1"/>
  <c r="F1772" i="1"/>
  <c r="G1772" i="1"/>
  <c r="H1772" i="1"/>
  <c r="I1772" i="1"/>
  <c r="C1773" i="1"/>
  <c r="D1773" i="1"/>
  <c r="E1773" i="1"/>
  <c r="F1773" i="1"/>
  <c r="G1773" i="1"/>
  <c r="H1773" i="1"/>
  <c r="I1773" i="1"/>
  <c r="C1774" i="1"/>
  <c r="D1774" i="1"/>
  <c r="E1774" i="1"/>
  <c r="F1774" i="1"/>
  <c r="G1774" i="1"/>
  <c r="H1774" i="1"/>
  <c r="I1774" i="1"/>
  <c r="C1775" i="1"/>
  <c r="D1775" i="1"/>
  <c r="E1775" i="1"/>
  <c r="F1775" i="1"/>
  <c r="G1775" i="1"/>
  <c r="H1775" i="1"/>
  <c r="I1775" i="1"/>
  <c r="C1776" i="1"/>
  <c r="D1776" i="1"/>
  <c r="E1776" i="1"/>
  <c r="F1776" i="1"/>
  <c r="G1776" i="1"/>
  <c r="H1776" i="1"/>
  <c r="I1776" i="1"/>
  <c r="C1895" i="1"/>
  <c r="D1895" i="1"/>
  <c r="E1895" i="1"/>
  <c r="F1895" i="1"/>
  <c r="G1895" i="1"/>
  <c r="H1895" i="1"/>
  <c r="I1895" i="1"/>
  <c r="C1896" i="1"/>
  <c r="D1896" i="1"/>
  <c r="E1896" i="1"/>
  <c r="F1896" i="1"/>
  <c r="G1896" i="1"/>
  <c r="H1896" i="1"/>
  <c r="I1896" i="1"/>
  <c r="C1897" i="1"/>
  <c r="D1897" i="1"/>
  <c r="E1897" i="1"/>
  <c r="F1897" i="1"/>
  <c r="G1897" i="1"/>
  <c r="H1897" i="1"/>
  <c r="I1897" i="1"/>
  <c r="C1898" i="1"/>
  <c r="D1898" i="1"/>
  <c r="E1898" i="1"/>
  <c r="F1898" i="1"/>
  <c r="G1898" i="1"/>
  <c r="H1898" i="1"/>
  <c r="I1898" i="1"/>
  <c r="C1899" i="1"/>
  <c r="D1899" i="1"/>
  <c r="E1899" i="1"/>
  <c r="F1899" i="1"/>
  <c r="G1899" i="1"/>
  <c r="H1899" i="1"/>
  <c r="I1899" i="1"/>
  <c r="C2029" i="1"/>
  <c r="D2029" i="1"/>
  <c r="E2029" i="1"/>
  <c r="F2029" i="1"/>
  <c r="G2029" i="1"/>
  <c r="H2029" i="1"/>
  <c r="I2029" i="1"/>
  <c r="C2030" i="1"/>
  <c r="D2030" i="1"/>
  <c r="E2030" i="1"/>
  <c r="F2030" i="1"/>
  <c r="G2030" i="1"/>
  <c r="H2030" i="1"/>
  <c r="I2030" i="1"/>
  <c r="C2031" i="1"/>
  <c r="D2031" i="1"/>
  <c r="E2031" i="1"/>
  <c r="F2031" i="1"/>
  <c r="G2031" i="1"/>
  <c r="H2031" i="1"/>
  <c r="I2031" i="1"/>
  <c r="C2032" i="1"/>
  <c r="D2032" i="1"/>
  <c r="E2032" i="1"/>
  <c r="F2032" i="1"/>
  <c r="G2032" i="1"/>
  <c r="H2032" i="1"/>
  <c r="I2032" i="1"/>
  <c r="C2148" i="1"/>
  <c r="D2148" i="1"/>
  <c r="E2148" i="1"/>
  <c r="F2148" i="1"/>
  <c r="G2148" i="1"/>
  <c r="H2148" i="1"/>
  <c r="I2148" i="1"/>
  <c r="C2149" i="1"/>
  <c r="D2149" i="1"/>
  <c r="E2149" i="1"/>
  <c r="F2149" i="1"/>
  <c r="G2149" i="1"/>
  <c r="H2149" i="1"/>
  <c r="I2149" i="1"/>
  <c r="C2150" i="1"/>
  <c r="D2150" i="1"/>
  <c r="E2150" i="1"/>
  <c r="F2150" i="1"/>
  <c r="G2150" i="1"/>
  <c r="H2150" i="1"/>
  <c r="I2150" i="1"/>
  <c r="C2151" i="1"/>
  <c r="D2151" i="1"/>
  <c r="E2151" i="1"/>
  <c r="F2151" i="1"/>
  <c r="G2151" i="1"/>
  <c r="H2151" i="1"/>
  <c r="I2151" i="1"/>
  <c r="C2152" i="1"/>
  <c r="D2152" i="1"/>
  <c r="E2152" i="1"/>
  <c r="F2152" i="1"/>
  <c r="G2152" i="1"/>
  <c r="H2152" i="1"/>
  <c r="I2152" i="1"/>
  <c r="C2282" i="1"/>
  <c r="D2282" i="1"/>
  <c r="E2282" i="1"/>
  <c r="F2282" i="1"/>
  <c r="G2282" i="1"/>
  <c r="H2282" i="1"/>
  <c r="I2282" i="1"/>
  <c r="C2283" i="1"/>
  <c r="D2283" i="1"/>
  <c r="E2283" i="1"/>
  <c r="F2283" i="1"/>
  <c r="G2283" i="1"/>
  <c r="H2283" i="1"/>
  <c r="I2283" i="1"/>
  <c r="C2284" i="1"/>
  <c r="D2284" i="1"/>
  <c r="E2284" i="1"/>
  <c r="F2284" i="1"/>
  <c r="G2284" i="1"/>
  <c r="H2284" i="1"/>
  <c r="I2284" i="1"/>
  <c r="C2285" i="1"/>
  <c r="D2285" i="1"/>
  <c r="E2285" i="1"/>
  <c r="F2285" i="1"/>
  <c r="G2285" i="1"/>
  <c r="H2285" i="1"/>
  <c r="I2285" i="1"/>
  <c r="C2286" i="1"/>
  <c r="D2286" i="1"/>
  <c r="E2286" i="1"/>
  <c r="F2286" i="1"/>
  <c r="G2286" i="1"/>
  <c r="H2286" i="1"/>
  <c r="I2286" i="1"/>
  <c r="C2406" i="1"/>
  <c r="D2406" i="1"/>
  <c r="E2406" i="1"/>
  <c r="F2406" i="1"/>
  <c r="G2406" i="1"/>
  <c r="H2406" i="1"/>
  <c r="I2406" i="1"/>
  <c r="C2407" i="1"/>
  <c r="D2407" i="1"/>
  <c r="E2407" i="1"/>
  <c r="F2407" i="1"/>
  <c r="G2407" i="1"/>
  <c r="H2407" i="1"/>
  <c r="I2407" i="1"/>
  <c r="C2408" i="1"/>
  <c r="D2408" i="1"/>
  <c r="E2408" i="1"/>
  <c r="F2408" i="1"/>
  <c r="G2408" i="1"/>
  <c r="H2408" i="1"/>
  <c r="I2408" i="1"/>
  <c r="C2409" i="1"/>
  <c r="D2409" i="1"/>
  <c r="E2409" i="1"/>
  <c r="F2409" i="1"/>
  <c r="G2409" i="1"/>
  <c r="H2409" i="1"/>
  <c r="I2409" i="1"/>
  <c r="C2410" i="1"/>
  <c r="D2410" i="1"/>
  <c r="E2410" i="1"/>
  <c r="F2410" i="1"/>
  <c r="G2410" i="1"/>
  <c r="H2410" i="1"/>
  <c r="I2410" i="1"/>
  <c r="C2537" i="1"/>
  <c r="D2537" i="1"/>
  <c r="E2537" i="1"/>
  <c r="F2537" i="1"/>
  <c r="G2537" i="1"/>
  <c r="H2537" i="1"/>
  <c r="I2537" i="1"/>
  <c r="C2538" i="1"/>
  <c r="D2538" i="1"/>
  <c r="E2538" i="1"/>
  <c r="F2538" i="1"/>
  <c r="G2538" i="1"/>
  <c r="H2538" i="1"/>
  <c r="I2538" i="1"/>
  <c r="C2539" i="1"/>
  <c r="D2539" i="1"/>
  <c r="E2539" i="1"/>
  <c r="F2539" i="1"/>
  <c r="G2539" i="1"/>
  <c r="H2539" i="1"/>
  <c r="I2539" i="1"/>
  <c r="C2540" i="1"/>
  <c r="D2540" i="1"/>
  <c r="E2540" i="1"/>
  <c r="F2540" i="1"/>
  <c r="G2540" i="1"/>
  <c r="H2540" i="1"/>
  <c r="I2540" i="1"/>
  <c r="C2643" i="1"/>
  <c r="D2643" i="1"/>
  <c r="E2643" i="1"/>
  <c r="F2643" i="1"/>
  <c r="G2643" i="1"/>
  <c r="H2643" i="1"/>
  <c r="I2643" i="1"/>
  <c r="C2644" i="1"/>
  <c r="D2644" i="1"/>
  <c r="E2644" i="1"/>
  <c r="F2644" i="1"/>
  <c r="G2644" i="1"/>
  <c r="H2644" i="1"/>
  <c r="I2644" i="1"/>
  <c r="C2645" i="1"/>
  <c r="D2645" i="1"/>
  <c r="E2645" i="1"/>
  <c r="F2645" i="1"/>
  <c r="G2645" i="1"/>
  <c r="H2645" i="1"/>
  <c r="I2645" i="1"/>
  <c r="C3738" i="1"/>
  <c r="D3738" i="1"/>
  <c r="E3738" i="1"/>
  <c r="F3738" i="1"/>
  <c r="G3738" i="1"/>
  <c r="H3738" i="1"/>
  <c r="I3738" i="1"/>
  <c r="C2761" i="1"/>
  <c r="D2761" i="1"/>
  <c r="E2761" i="1"/>
  <c r="F2761" i="1"/>
  <c r="G2761" i="1"/>
  <c r="H2761" i="1"/>
  <c r="I2761" i="1"/>
  <c r="C2762" i="1"/>
  <c r="D2762" i="1"/>
  <c r="E2762" i="1"/>
  <c r="F2762" i="1"/>
  <c r="G2762" i="1"/>
  <c r="H2762" i="1"/>
  <c r="I2762" i="1"/>
  <c r="C2763" i="1"/>
  <c r="D2763" i="1"/>
  <c r="E2763" i="1"/>
  <c r="F2763" i="1"/>
  <c r="G2763" i="1"/>
  <c r="H2763" i="1"/>
  <c r="I2763" i="1"/>
  <c r="C2857" i="1"/>
  <c r="D2857" i="1"/>
  <c r="E2857" i="1"/>
  <c r="F2857" i="1"/>
  <c r="G2857" i="1"/>
  <c r="H2857" i="1"/>
  <c r="I2857" i="1"/>
  <c r="C2858" i="1"/>
  <c r="D2858" i="1"/>
  <c r="E2858" i="1"/>
  <c r="F2858" i="1"/>
  <c r="G2858" i="1"/>
  <c r="H2858" i="1"/>
  <c r="I2858" i="1"/>
  <c r="C2942" i="1"/>
  <c r="D2942" i="1"/>
  <c r="E2942" i="1"/>
  <c r="F2942" i="1"/>
  <c r="G2942" i="1"/>
  <c r="H2942" i="1"/>
  <c r="I2942" i="1"/>
  <c r="C2943" i="1"/>
  <c r="D2943" i="1"/>
  <c r="E2943" i="1"/>
  <c r="F2943" i="1"/>
  <c r="G2943" i="1"/>
  <c r="H2943" i="1"/>
  <c r="I2943" i="1"/>
  <c r="C2944" i="1"/>
  <c r="D2944" i="1"/>
  <c r="E2944" i="1"/>
  <c r="F2944" i="1"/>
  <c r="G2944" i="1"/>
  <c r="H2944" i="1"/>
  <c r="I2944" i="1"/>
  <c r="C3043" i="1"/>
  <c r="D3043" i="1"/>
  <c r="E3043" i="1"/>
  <c r="F3043" i="1"/>
  <c r="G3043" i="1"/>
  <c r="H3043" i="1"/>
  <c r="I3043" i="1"/>
  <c r="C3110" i="1"/>
  <c r="D3110" i="1"/>
  <c r="E3110" i="1"/>
  <c r="F3110" i="1"/>
  <c r="G3110" i="1"/>
  <c r="H3110" i="1"/>
  <c r="I3110" i="1"/>
  <c r="C3111" i="1"/>
  <c r="D3111" i="1"/>
  <c r="E3111" i="1"/>
  <c r="F3111" i="1"/>
  <c r="G3111" i="1"/>
  <c r="H3111" i="1"/>
  <c r="I3111" i="1"/>
  <c r="C3112" i="1"/>
  <c r="D3112" i="1"/>
  <c r="E3112" i="1"/>
  <c r="F3112" i="1"/>
  <c r="G3112" i="1"/>
  <c r="H3112" i="1"/>
  <c r="I3112" i="1"/>
  <c r="C3177" i="1"/>
  <c r="D3177" i="1"/>
  <c r="E3177" i="1"/>
  <c r="F3177" i="1"/>
  <c r="G3177" i="1"/>
  <c r="H3177" i="1"/>
  <c r="I3177" i="1"/>
  <c r="C3178" i="1"/>
  <c r="D3178" i="1"/>
  <c r="E3178" i="1"/>
  <c r="F3178" i="1"/>
  <c r="G3178" i="1"/>
  <c r="H3178" i="1"/>
  <c r="I3178" i="1"/>
  <c r="C3247" i="1"/>
  <c r="D3247" i="1"/>
  <c r="E3247" i="1"/>
  <c r="F3247" i="1"/>
  <c r="G3247" i="1"/>
  <c r="H3247" i="1"/>
  <c r="I3247" i="1"/>
  <c r="C3326" i="1"/>
  <c r="D3326" i="1"/>
  <c r="E3326" i="1"/>
  <c r="F3326" i="1"/>
  <c r="G3326" i="1"/>
  <c r="H3326" i="1"/>
  <c r="I3326" i="1"/>
  <c r="C3327" i="1"/>
  <c r="D3327" i="1"/>
  <c r="E3327" i="1"/>
  <c r="F3327" i="1"/>
  <c r="G3327" i="1"/>
  <c r="H3327" i="1"/>
  <c r="I3327" i="1"/>
  <c r="C3328" i="1"/>
  <c r="D3328" i="1"/>
  <c r="E3328" i="1"/>
  <c r="F3328" i="1"/>
  <c r="G3328" i="1"/>
  <c r="H3328" i="1"/>
  <c r="I3328" i="1"/>
  <c r="C3390" i="1"/>
  <c r="D3390" i="1"/>
  <c r="E3390" i="1"/>
  <c r="F3390" i="1"/>
  <c r="G3390" i="1"/>
  <c r="H3390" i="1"/>
  <c r="I3390" i="1"/>
  <c r="C3391" i="1"/>
  <c r="D3391" i="1"/>
  <c r="E3391" i="1"/>
  <c r="F3391" i="1"/>
  <c r="G3391" i="1"/>
  <c r="H3391" i="1"/>
  <c r="I3391" i="1"/>
  <c r="C3519" i="1"/>
  <c r="D3519" i="1"/>
  <c r="E3519" i="1"/>
  <c r="F3519" i="1"/>
  <c r="G3519" i="1"/>
  <c r="H3519" i="1"/>
  <c r="I3519" i="1"/>
  <c r="C3576" i="1"/>
  <c r="D3576" i="1"/>
  <c r="E3576" i="1"/>
  <c r="F3576" i="1"/>
  <c r="G3576" i="1"/>
  <c r="H3576" i="1"/>
  <c r="I3576" i="1"/>
  <c r="C3639" i="1"/>
  <c r="D3639" i="1"/>
  <c r="E3639" i="1"/>
  <c r="F3639" i="1"/>
  <c r="G3639" i="1"/>
  <c r="H3639" i="1"/>
  <c r="I3639" i="1"/>
  <c r="C3640" i="1"/>
  <c r="D3640" i="1"/>
  <c r="E3640" i="1"/>
  <c r="F3640" i="1"/>
  <c r="G3640" i="1"/>
  <c r="H3640" i="1"/>
  <c r="I3640" i="1"/>
  <c r="C3641" i="1"/>
  <c r="D3641" i="1"/>
  <c r="E3641" i="1"/>
  <c r="F3641" i="1"/>
  <c r="G3641" i="1"/>
  <c r="H3641" i="1"/>
  <c r="I3641" i="1"/>
  <c r="C3688" i="1"/>
  <c r="D3688" i="1"/>
  <c r="E3688" i="1"/>
  <c r="F3688" i="1"/>
  <c r="G3688" i="1"/>
  <c r="H3688" i="1"/>
  <c r="I3688" i="1"/>
  <c r="C4152" i="1"/>
  <c r="D4152" i="1"/>
  <c r="E4152" i="1"/>
  <c r="F4152" i="1"/>
  <c r="G4152" i="1"/>
  <c r="H4152" i="1"/>
  <c r="I4152" i="1"/>
  <c r="C3739" i="1"/>
  <c r="D3739" i="1"/>
  <c r="E3739" i="1"/>
  <c r="F3739" i="1"/>
  <c r="G3739" i="1"/>
  <c r="H3739" i="1"/>
  <c r="I3739" i="1"/>
  <c r="C2945" i="1"/>
  <c r="D2945" i="1"/>
  <c r="E2945" i="1"/>
  <c r="F2945" i="1"/>
  <c r="G2945" i="1"/>
  <c r="H2945" i="1"/>
  <c r="I2945" i="1"/>
  <c r="C3740" i="1"/>
  <c r="D3740" i="1"/>
  <c r="E3740" i="1"/>
  <c r="F3740" i="1"/>
  <c r="G3740" i="1"/>
  <c r="H3740" i="1"/>
  <c r="I3740" i="1"/>
  <c r="C3793" i="1"/>
  <c r="D3793" i="1"/>
  <c r="E3793" i="1"/>
  <c r="F3793" i="1"/>
  <c r="G3793" i="1"/>
  <c r="H3793" i="1"/>
  <c r="I3793" i="1"/>
  <c r="C3990" i="1"/>
  <c r="D3990" i="1"/>
  <c r="E3990" i="1"/>
  <c r="F3990" i="1"/>
  <c r="G3990" i="1"/>
  <c r="H3990" i="1"/>
  <c r="I3990" i="1"/>
  <c r="C4086" i="1"/>
  <c r="D4086" i="1"/>
  <c r="E4086" i="1"/>
  <c r="F4086" i="1"/>
  <c r="G4086" i="1"/>
  <c r="H4086" i="1"/>
  <c r="I4086" i="1"/>
  <c r="C4161" i="1"/>
  <c r="D4161" i="1"/>
  <c r="E4161" i="1"/>
  <c r="F4161" i="1"/>
  <c r="G4161" i="1"/>
  <c r="H4161" i="1"/>
  <c r="I4161" i="1"/>
  <c r="C4087" i="1"/>
  <c r="D4087" i="1"/>
  <c r="E4087" i="1"/>
  <c r="F4087" i="1"/>
  <c r="G4087" i="1"/>
  <c r="H4087" i="1"/>
  <c r="I4087" i="1"/>
  <c r="C1485" i="1"/>
  <c r="D1485" i="1"/>
  <c r="E1485" i="1"/>
  <c r="F1485" i="1"/>
  <c r="G1485" i="1"/>
  <c r="H1485" i="1"/>
  <c r="I1485" i="1"/>
  <c r="C1617" i="1"/>
  <c r="D1617" i="1"/>
  <c r="E1617" i="1"/>
  <c r="F1617" i="1"/>
  <c r="G1617" i="1"/>
  <c r="H1617" i="1"/>
  <c r="I1617" i="1"/>
  <c r="C1618" i="1"/>
  <c r="D1618" i="1"/>
  <c r="E1618" i="1"/>
  <c r="F1618" i="1"/>
  <c r="G1618" i="1"/>
  <c r="H1618" i="1"/>
  <c r="I1618" i="1"/>
  <c r="C1777" i="1"/>
  <c r="D1777" i="1"/>
  <c r="E1777" i="1"/>
  <c r="F1777" i="1"/>
  <c r="G1777" i="1"/>
  <c r="H1777" i="1"/>
  <c r="I1777" i="1"/>
  <c r="C1778" i="1"/>
  <c r="D1778" i="1"/>
  <c r="E1778" i="1"/>
  <c r="F1778" i="1"/>
  <c r="G1778" i="1"/>
  <c r="H1778" i="1"/>
  <c r="I1778" i="1"/>
  <c r="C1779" i="1"/>
  <c r="D1779" i="1"/>
  <c r="E1779" i="1"/>
  <c r="F1779" i="1"/>
  <c r="G1779" i="1"/>
  <c r="H1779" i="1"/>
  <c r="I1779" i="1"/>
  <c r="C2563" i="1"/>
  <c r="D2563" i="1"/>
  <c r="E2563" i="1"/>
  <c r="F2563" i="1"/>
  <c r="G2563" i="1"/>
  <c r="H2563" i="1"/>
  <c r="I2563" i="1"/>
  <c r="C2564" i="1"/>
  <c r="D2564" i="1"/>
  <c r="E2564" i="1"/>
  <c r="F2564" i="1"/>
  <c r="G2564" i="1"/>
  <c r="H2564" i="1"/>
  <c r="I2564" i="1"/>
  <c r="C2681" i="1"/>
  <c r="D2681" i="1"/>
  <c r="E2681" i="1"/>
  <c r="F2681" i="1"/>
  <c r="G2681" i="1"/>
  <c r="H2681" i="1"/>
  <c r="I2681" i="1"/>
  <c r="C2454" i="1"/>
  <c r="D2454" i="1"/>
  <c r="E2454" i="1"/>
  <c r="F2454" i="1"/>
  <c r="G2454" i="1"/>
  <c r="H2454" i="1"/>
  <c r="I2454" i="1"/>
  <c r="C2442" i="1"/>
  <c r="D2442" i="1"/>
  <c r="E2442" i="1"/>
  <c r="F2442" i="1"/>
  <c r="G2442" i="1"/>
  <c r="H2442" i="1"/>
  <c r="I2442" i="1"/>
  <c r="C4322" i="1"/>
  <c r="D4322" i="1"/>
  <c r="E4322" i="1"/>
  <c r="F4322" i="1"/>
  <c r="G4322" i="1"/>
  <c r="H4322" i="1"/>
  <c r="I4322" i="1"/>
  <c r="C1345" i="1"/>
  <c r="D1345" i="1"/>
  <c r="E1345" i="1"/>
  <c r="F1345" i="1"/>
  <c r="G1345" i="1"/>
  <c r="H1345" i="1"/>
  <c r="I1345" i="1"/>
  <c r="C1346" i="1"/>
  <c r="D1346" i="1"/>
  <c r="E1346" i="1"/>
  <c r="F1346" i="1"/>
  <c r="G1346" i="1"/>
  <c r="H1346" i="1"/>
  <c r="I1346" i="1"/>
  <c r="C1347" i="1"/>
  <c r="D1347" i="1"/>
  <c r="E1347" i="1"/>
  <c r="F1347" i="1"/>
  <c r="G1347" i="1"/>
  <c r="H1347" i="1"/>
  <c r="I1347" i="1"/>
  <c r="C1211" i="1"/>
  <c r="D1211" i="1"/>
  <c r="E1211" i="1"/>
  <c r="F1211" i="1"/>
  <c r="G1211" i="1"/>
  <c r="H1211" i="1"/>
  <c r="I1211" i="1"/>
  <c r="C1212" i="1"/>
  <c r="D1212" i="1"/>
  <c r="E1212" i="1"/>
  <c r="F1212" i="1"/>
  <c r="G1212" i="1"/>
  <c r="H1212" i="1"/>
  <c r="I1212" i="1"/>
  <c r="C1247" i="1"/>
  <c r="D1247" i="1"/>
  <c r="E1247" i="1"/>
  <c r="F1247" i="1"/>
  <c r="G1247" i="1"/>
  <c r="H1247" i="1"/>
  <c r="I1247" i="1"/>
  <c r="C3179" i="1"/>
  <c r="D3179" i="1"/>
  <c r="E3179" i="1"/>
  <c r="F3179" i="1"/>
  <c r="G3179" i="1"/>
  <c r="H3179" i="1"/>
  <c r="I3179" i="1"/>
  <c r="C3248" i="1"/>
  <c r="D3248" i="1"/>
  <c r="E3248" i="1"/>
  <c r="F3248" i="1"/>
  <c r="G3248" i="1"/>
  <c r="H3248" i="1"/>
  <c r="I3248" i="1"/>
  <c r="C3329" i="1"/>
  <c r="D3329" i="1"/>
  <c r="E3329" i="1"/>
  <c r="F3329" i="1"/>
  <c r="G3329" i="1"/>
  <c r="H3329" i="1"/>
  <c r="I3329" i="1"/>
  <c r="C2033" i="1"/>
  <c r="D2033" i="1"/>
  <c r="E2033" i="1"/>
  <c r="F2033" i="1"/>
  <c r="G2033" i="1"/>
  <c r="H2033" i="1"/>
  <c r="I2033" i="1"/>
  <c r="C2287" i="1"/>
  <c r="D2287" i="1"/>
  <c r="E2287" i="1"/>
  <c r="F2287" i="1"/>
  <c r="G2287" i="1"/>
  <c r="H2287" i="1"/>
  <c r="I2287" i="1"/>
  <c r="C632" i="1"/>
  <c r="D632" i="1"/>
  <c r="E632" i="1"/>
  <c r="F632" i="1"/>
  <c r="G632" i="1"/>
  <c r="H632" i="1"/>
  <c r="I632" i="1"/>
  <c r="C4323" i="1"/>
  <c r="D4323" i="1"/>
  <c r="E4323" i="1"/>
  <c r="F4323" i="1"/>
  <c r="G4323" i="1"/>
  <c r="H4323" i="1"/>
  <c r="I4323" i="1"/>
  <c r="C509" i="1"/>
  <c r="D509" i="1"/>
  <c r="E509" i="1"/>
  <c r="F509" i="1"/>
  <c r="G509" i="1"/>
  <c r="H509" i="1"/>
  <c r="I509" i="1"/>
  <c r="C304" i="1"/>
  <c r="D304" i="1"/>
  <c r="E304" i="1"/>
  <c r="F304" i="1"/>
  <c r="G304" i="1"/>
  <c r="H304" i="1"/>
  <c r="I304" i="1"/>
  <c r="C1486" i="1"/>
  <c r="D1486" i="1"/>
  <c r="E1486" i="1"/>
  <c r="F1486" i="1"/>
  <c r="G1486" i="1"/>
  <c r="H1486" i="1"/>
  <c r="I1486" i="1"/>
  <c r="C934" i="1"/>
  <c r="D934" i="1"/>
  <c r="E934" i="1"/>
  <c r="F934" i="1"/>
  <c r="G934" i="1"/>
  <c r="H934" i="1"/>
  <c r="I934" i="1"/>
  <c r="C935" i="1"/>
  <c r="D935" i="1"/>
  <c r="E935" i="1"/>
  <c r="F935" i="1"/>
  <c r="G935" i="1"/>
  <c r="H935" i="1"/>
  <c r="I935" i="1"/>
  <c r="C685" i="1"/>
  <c r="D685" i="1"/>
  <c r="E685" i="1"/>
  <c r="F685" i="1"/>
  <c r="G685" i="1"/>
  <c r="H685" i="1"/>
  <c r="I685" i="1"/>
  <c r="C3577" i="1"/>
  <c r="D3577" i="1"/>
  <c r="E3577" i="1"/>
  <c r="F3577" i="1"/>
  <c r="G3577" i="1"/>
  <c r="H3577" i="1"/>
  <c r="I3577" i="1"/>
  <c r="C1487" i="1"/>
  <c r="D1487" i="1"/>
  <c r="E1487" i="1"/>
  <c r="F1487" i="1"/>
  <c r="G1487" i="1"/>
  <c r="H1487" i="1"/>
  <c r="I1487" i="1"/>
  <c r="C4171" i="1"/>
  <c r="D4171" i="1"/>
  <c r="E4171" i="1"/>
  <c r="F4171" i="1"/>
  <c r="G4171" i="1"/>
  <c r="H4171" i="1"/>
  <c r="I4171" i="1"/>
  <c r="C117" i="1"/>
  <c r="D117" i="1"/>
  <c r="E117" i="1"/>
  <c r="F117" i="1"/>
  <c r="G117" i="1"/>
  <c r="H117" i="1"/>
  <c r="I117" i="1"/>
  <c r="C118" i="1"/>
  <c r="D118" i="1"/>
  <c r="E118" i="1"/>
  <c r="F118" i="1"/>
  <c r="G118" i="1"/>
  <c r="H118" i="1"/>
  <c r="I118" i="1"/>
  <c r="C119" i="1"/>
  <c r="D119" i="1"/>
  <c r="E119" i="1"/>
  <c r="F119" i="1"/>
  <c r="G119" i="1"/>
  <c r="H119" i="1"/>
  <c r="I119" i="1"/>
  <c r="C83" i="1"/>
  <c r="D83" i="1"/>
  <c r="E83" i="1"/>
  <c r="F83" i="1"/>
  <c r="G83" i="1"/>
  <c r="H83" i="1"/>
  <c r="I83" i="1"/>
  <c r="C686" i="1"/>
  <c r="D686" i="1"/>
  <c r="E686" i="1"/>
  <c r="F686" i="1"/>
  <c r="G686" i="1"/>
  <c r="H686" i="1"/>
  <c r="I686" i="1"/>
  <c r="C3274" i="1"/>
  <c r="D3274" i="1"/>
  <c r="E3274" i="1"/>
  <c r="F3274" i="1"/>
  <c r="G3274" i="1"/>
  <c r="H3274" i="1"/>
  <c r="I3274" i="1"/>
  <c r="C2191" i="1"/>
  <c r="D2191" i="1"/>
  <c r="E2191" i="1"/>
  <c r="F2191" i="1"/>
  <c r="G2191" i="1"/>
  <c r="H2191" i="1"/>
  <c r="I2191" i="1"/>
  <c r="C2067" i="1"/>
  <c r="D2067" i="1"/>
  <c r="E2067" i="1"/>
  <c r="F2067" i="1"/>
  <c r="G2067" i="1"/>
  <c r="H2067" i="1"/>
  <c r="I2067" i="1"/>
  <c r="C2153" i="1"/>
  <c r="D2153" i="1"/>
  <c r="E2153" i="1"/>
  <c r="F2153" i="1"/>
  <c r="G2153" i="1"/>
  <c r="H2153" i="1"/>
  <c r="I2153" i="1"/>
  <c r="C4324" i="1"/>
  <c r="D4324" i="1"/>
  <c r="E4324" i="1"/>
  <c r="F4324" i="1"/>
  <c r="G4324" i="1"/>
  <c r="H4324" i="1"/>
  <c r="I4324" i="1"/>
  <c r="C4162" i="1"/>
  <c r="D4162" i="1"/>
  <c r="E4162" i="1"/>
  <c r="F4162" i="1"/>
  <c r="G4162" i="1"/>
  <c r="H4162" i="1"/>
  <c r="I4162" i="1"/>
  <c r="C165" i="1"/>
  <c r="D165" i="1"/>
  <c r="E165" i="1"/>
  <c r="F165" i="1"/>
  <c r="G165" i="1"/>
  <c r="H165" i="1"/>
  <c r="I165" i="1"/>
  <c r="C3642" i="1"/>
  <c r="D3642" i="1"/>
  <c r="E3642" i="1"/>
  <c r="F3642" i="1"/>
  <c r="G3642" i="1"/>
  <c r="H3642" i="1"/>
  <c r="I3642" i="1"/>
  <c r="C3044" i="1"/>
  <c r="D3044" i="1"/>
  <c r="E3044" i="1"/>
  <c r="F3044" i="1"/>
  <c r="G3044" i="1"/>
  <c r="H3044" i="1"/>
  <c r="I3044" i="1"/>
  <c r="C3392" i="1"/>
  <c r="D3392" i="1"/>
  <c r="E3392" i="1"/>
  <c r="F3392" i="1"/>
  <c r="G3392" i="1"/>
  <c r="H3392" i="1"/>
  <c r="I3392" i="1"/>
  <c r="C3330" i="1"/>
  <c r="D3330" i="1"/>
  <c r="E3330" i="1"/>
  <c r="F3330" i="1"/>
  <c r="G3330" i="1"/>
  <c r="H3330" i="1"/>
  <c r="I3330" i="1"/>
  <c r="C3331" i="1"/>
  <c r="D3331" i="1"/>
  <c r="E3331" i="1"/>
  <c r="F3331" i="1"/>
  <c r="G3331" i="1"/>
  <c r="H3331" i="1"/>
  <c r="I3331" i="1"/>
  <c r="C3113" i="1"/>
  <c r="D3113" i="1"/>
  <c r="E3113" i="1"/>
  <c r="F3113" i="1"/>
  <c r="G3113" i="1"/>
  <c r="H3113" i="1"/>
  <c r="I3113" i="1"/>
  <c r="C3393" i="1"/>
  <c r="D3393" i="1"/>
  <c r="E3393" i="1"/>
  <c r="F3393" i="1"/>
  <c r="G3393" i="1"/>
  <c r="H3393" i="1"/>
  <c r="I3393" i="1"/>
  <c r="C3045" i="1"/>
  <c r="D3045" i="1"/>
  <c r="E3045" i="1"/>
  <c r="F3045" i="1"/>
  <c r="G3045" i="1"/>
  <c r="H3045" i="1"/>
  <c r="I3045" i="1"/>
  <c r="C3114" i="1"/>
  <c r="D3114" i="1"/>
  <c r="E3114" i="1"/>
  <c r="F3114" i="1"/>
  <c r="G3114" i="1"/>
  <c r="H3114" i="1"/>
  <c r="I3114" i="1"/>
  <c r="C2646" i="1"/>
  <c r="D2646" i="1"/>
  <c r="E2646" i="1"/>
  <c r="F2646" i="1"/>
  <c r="G2646" i="1"/>
  <c r="H2646" i="1"/>
  <c r="I2646" i="1"/>
  <c r="C2288" i="1"/>
  <c r="D2288" i="1"/>
  <c r="E2288" i="1"/>
  <c r="F2288" i="1"/>
  <c r="G2288" i="1"/>
  <c r="H2288" i="1"/>
  <c r="I2288" i="1"/>
  <c r="C1900" i="1"/>
  <c r="D1900" i="1"/>
  <c r="E1900" i="1"/>
  <c r="F1900" i="1"/>
  <c r="G1900" i="1"/>
  <c r="H1900" i="1"/>
  <c r="I1900" i="1"/>
  <c r="C3643" i="1"/>
  <c r="D3643" i="1"/>
  <c r="E3643" i="1"/>
  <c r="F3643" i="1"/>
  <c r="G3643" i="1"/>
  <c r="H3643" i="1"/>
  <c r="I3643" i="1"/>
  <c r="C3925" i="1"/>
  <c r="D3925" i="1"/>
  <c r="E3925" i="1"/>
  <c r="F3925" i="1"/>
  <c r="G3925" i="1"/>
  <c r="H3925" i="1"/>
  <c r="I3925" i="1"/>
  <c r="C3644" i="1"/>
  <c r="D3644" i="1"/>
  <c r="E3644" i="1"/>
  <c r="F3644" i="1"/>
  <c r="G3644" i="1"/>
  <c r="H3644" i="1"/>
  <c r="I3644" i="1"/>
  <c r="C1810" i="1"/>
  <c r="D1810" i="1"/>
  <c r="E1810" i="1"/>
  <c r="F1810" i="1"/>
  <c r="G1810" i="1"/>
  <c r="H1810" i="1"/>
  <c r="I1810" i="1"/>
  <c r="C1348" i="1"/>
  <c r="D1348" i="1"/>
  <c r="E1348" i="1"/>
  <c r="F1348" i="1"/>
  <c r="G1348" i="1"/>
  <c r="H1348" i="1"/>
  <c r="I1348" i="1"/>
  <c r="C1074" i="1"/>
  <c r="D1074" i="1"/>
  <c r="E1074" i="1"/>
  <c r="F1074" i="1"/>
  <c r="G1074" i="1"/>
  <c r="H1074" i="1"/>
  <c r="I1074" i="1"/>
  <c r="C2411" i="1"/>
  <c r="D2411" i="1"/>
  <c r="E2411" i="1"/>
  <c r="F2411" i="1"/>
  <c r="G2411" i="1"/>
  <c r="H2411" i="1"/>
  <c r="I2411" i="1"/>
  <c r="C4325" i="1"/>
  <c r="D4325" i="1"/>
  <c r="E4325" i="1"/>
  <c r="F4325" i="1"/>
  <c r="G4325" i="1"/>
  <c r="H4325" i="1"/>
  <c r="I4325" i="1"/>
  <c r="C4326" i="1"/>
  <c r="D4326" i="1"/>
  <c r="E4326" i="1"/>
  <c r="F4326" i="1"/>
  <c r="G4326" i="1"/>
  <c r="H4326" i="1"/>
  <c r="I4326" i="1"/>
  <c r="C739" i="1"/>
  <c r="D739" i="1"/>
  <c r="E739" i="1"/>
  <c r="F739" i="1"/>
  <c r="G739" i="1"/>
  <c r="H739" i="1"/>
  <c r="I739" i="1"/>
  <c r="C2289" i="1"/>
  <c r="D2289" i="1"/>
  <c r="E2289" i="1"/>
  <c r="F2289" i="1"/>
  <c r="G2289" i="1"/>
  <c r="H2289" i="1"/>
  <c r="I2289" i="1"/>
  <c r="C4327" i="1"/>
  <c r="D4327" i="1"/>
  <c r="E4327" i="1"/>
  <c r="F4327" i="1"/>
  <c r="G4327" i="1"/>
  <c r="H4327" i="1"/>
  <c r="I4327" i="1"/>
  <c r="C4328" i="1"/>
  <c r="D4328" i="1"/>
  <c r="E4328" i="1"/>
  <c r="F4328" i="1"/>
  <c r="G4328" i="1"/>
  <c r="H4328" i="1"/>
  <c r="I4328" i="1"/>
  <c r="C3520" i="1"/>
  <c r="D3520" i="1"/>
  <c r="E3520" i="1"/>
  <c r="F3520" i="1"/>
  <c r="G3520" i="1"/>
  <c r="H3520" i="1"/>
  <c r="I3520" i="1"/>
  <c r="C3689" i="1"/>
  <c r="D3689" i="1"/>
  <c r="E3689" i="1"/>
  <c r="F3689" i="1"/>
  <c r="G3689" i="1"/>
  <c r="H3689" i="1"/>
  <c r="I3689" i="1"/>
  <c r="C3578" i="1"/>
  <c r="D3578" i="1"/>
  <c r="E3578" i="1"/>
  <c r="F3578" i="1"/>
  <c r="G3578" i="1"/>
  <c r="H3578" i="1"/>
  <c r="I3578" i="1"/>
  <c r="C3579" i="1"/>
  <c r="D3579" i="1"/>
  <c r="E3579" i="1"/>
  <c r="F3579" i="1"/>
  <c r="G3579" i="1"/>
  <c r="H3579" i="1"/>
  <c r="I3579" i="1"/>
  <c r="C3645" i="1"/>
  <c r="D3645" i="1"/>
  <c r="E3645" i="1"/>
  <c r="F3645" i="1"/>
  <c r="G3645" i="1"/>
  <c r="H3645" i="1"/>
  <c r="I3645" i="1"/>
  <c r="C3959" i="1"/>
  <c r="D3959" i="1"/>
  <c r="E3959" i="1"/>
  <c r="F3959" i="1"/>
  <c r="G3959" i="1"/>
  <c r="H3959" i="1"/>
  <c r="I3959" i="1"/>
  <c r="C3741" i="1"/>
  <c r="D3741" i="1"/>
  <c r="E3741" i="1"/>
  <c r="F3741" i="1"/>
  <c r="G3741" i="1"/>
  <c r="H3741" i="1"/>
  <c r="I3741" i="1"/>
  <c r="C1213" i="1"/>
  <c r="D1213" i="1"/>
  <c r="E1213" i="1"/>
  <c r="F1213" i="1"/>
  <c r="G1213" i="1"/>
  <c r="H1213" i="1"/>
  <c r="I1213" i="1"/>
  <c r="C1103" i="1"/>
  <c r="D1103" i="1"/>
  <c r="E1103" i="1"/>
  <c r="F1103" i="1"/>
  <c r="G1103" i="1"/>
  <c r="H1103" i="1"/>
  <c r="I1103" i="1"/>
  <c r="C1075" i="1"/>
  <c r="D1075" i="1"/>
  <c r="E1075" i="1"/>
  <c r="F1075" i="1"/>
  <c r="G1075" i="1"/>
  <c r="H1075" i="1"/>
  <c r="I1075" i="1"/>
  <c r="C4329" i="1"/>
  <c r="D4329" i="1"/>
  <c r="E4329" i="1"/>
  <c r="F4329" i="1"/>
  <c r="G4329" i="1"/>
  <c r="H4329" i="1"/>
  <c r="I4329" i="1"/>
  <c r="C4330" i="1"/>
  <c r="D4330" i="1"/>
  <c r="E4330" i="1"/>
  <c r="F4330" i="1"/>
  <c r="G4330" i="1"/>
  <c r="H4330" i="1"/>
  <c r="I4330" i="1"/>
  <c r="C4331" i="1"/>
  <c r="D4331" i="1"/>
  <c r="E4331" i="1"/>
  <c r="F4331" i="1"/>
  <c r="G4331" i="1"/>
  <c r="H4331" i="1"/>
  <c r="I4331" i="1"/>
  <c r="C1349" i="1"/>
  <c r="D1349" i="1"/>
  <c r="E1349" i="1"/>
  <c r="F1349" i="1"/>
  <c r="G1349" i="1"/>
  <c r="H1349" i="1"/>
  <c r="I1349" i="1"/>
  <c r="C4332" i="1"/>
  <c r="D4332" i="1"/>
  <c r="E4332" i="1"/>
  <c r="F4332" i="1"/>
  <c r="G4332" i="1"/>
  <c r="H4332" i="1"/>
  <c r="I4332" i="1"/>
  <c r="C936" i="1"/>
  <c r="D936" i="1"/>
  <c r="E936" i="1"/>
  <c r="F936" i="1"/>
  <c r="G936" i="1"/>
  <c r="H936" i="1"/>
  <c r="I936" i="1"/>
  <c r="C2541" i="1"/>
  <c r="D2541" i="1"/>
  <c r="E2541" i="1"/>
  <c r="F2541" i="1"/>
  <c r="G2541" i="1"/>
  <c r="H2541" i="1"/>
  <c r="I2541" i="1"/>
  <c r="C2764" i="1"/>
  <c r="D2764" i="1"/>
  <c r="E2764" i="1"/>
  <c r="F2764" i="1"/>
  <c r="G2764" i="1"/>
  <c r="H2764" i="1"/>
  <c r="I2764" i="1"/>
  <c r="C3046" i="1"/>
  <c r="D3046" i="1"/>
  <c r="E3046" i="1"/>
  <c r="F3046" i="1"/>
  <c r="G3046" i="1"/>
  <c r="H3046" i="1"/>
  <c r="I3046" i="1"/>
  <c r="C2946" i="1"/>
  <c r="D2946" i="1"/>
  <c r="E2946" i="1"/>
  <c r="F2946" i="1"/>
  <c r="G2946" i="1"/>
  <c r="H2946" i="1"/>
  <c r="I2946" i="1"/>
  <c r="C4333" i="1"/>
  <c r="D4333" i="1"/>
  <c r="E4333" i="1"/>
  <c r="F4333" i="1"/>
  <c r="G4333" i="1"/>
  <c r="H4333" i="1"/>
  <c r="I4333" i="1"/>
  <c r="C3249" i="1"/>
  <c r="D3249" i="1"/>
  <c r="E3249" i="1"/>
  <c r="F3249" i="1"/>
  <c r="G3249" i="1"/>
  <c r="H3249" i="1"/>
  <c r="I3249" i="1"/>
  <c r="C3250" i="1"/>
  <c r="D3250" i="1"/>
  <c r="E3250" i="1"/>
  <c r="F3250" i="1"/>
  <c r="G3250" i="1"/>
  <c r="H3250" i="1"/>
  <c r="I3250" i="1"/>
  <c r="C3394" i="1"/>
  <c r="D3394" i="1"/>
  <c r="E3394" i="1"/>
  <c r="F3394" i="1"/>
  <c r="G3394" i="1"/>
  <c r="H3394" i="1"/>
  <c r="I3394" i="1"/>
  <c r="C3395" i="1"/>
  <c r="D3395" i="1"/>
  <c r="E3395" i="1"/>
  <c r="F3395" i="1"/>
  <c r="G3395" i="1"/>
  <c r="H3395" i="1"/>
  <c r="I3395" i="1"/>
  <c r="C3690" i="1"/>
  <c r="D3690" i="1"/>
  <c r="E3690" i="1"/>
  <c r="F3690" i="1"/>
  <c r="G3690" i="1"/>
  <c r="H3690" i="1"/>
  <c r="I3690" i="1"/>
  <c r="C2765" i="1"/>
  <c r="D2765" i="1"/>
  <c r="E2765" i="1"/>
  <c r="F2765" i="1"/>
  <c r="G2765" i="1"/>
  <c r="H2765" i="1"/>
  <c r="I2765" i="1"/>
  <c r="C4334" i="1"/>
  <c r="D4334" i="1"/>
  <c r="E4334" i="1"/>
  <c r="F4334" i="1"/>
  <c r="G4334" i="1"/>
  <c r="H4334" i="1"/>
  <c r="I4334" i="1"/>
  <c r="C4335" i="1"/>
  <c r="D4335" i="1"/>
  <c r="E4335" i="1"/>
  <c r="F4335" i="1"/>
  <c r="G4335" i="1"/>
  <c r="H4335" i="1"/>
  <c r="I4335" i="1"/>
  <c r="C1619" i="1"/>
  <c r="D1619" i="1"/>
  <c r="E1619" i="1"/>
  <c r="F1619" i="1"/>
  <c r="G1619" i="1"/>
  <c r="H1619" i="1"/>
  <c r="I1619" i="1"/>
  <c r="C2542" i="1"/>
  <c r="D2542" i="1"/>
  <c r="E2542" i="1"/>
  <c r="F2542" i="1"/>
  <c r="G2542" i="1"/>
  <c r="H2542" i="1"/>
  <c r="I2542" i="1"/>
  <c r="C565" i="1"/>
  <c r="D565" i="1"/>
  <c r="E565" i="1"/>
  <c r="F565" i="1"/>
  <c r="G565" i="1"/>
  <c r="H565" i="1"/>
  <c r="I565" i="1"/>
  <c r="C510" i="1"/>
  <c r="D510" i="1"/>
  <c r="E510" i="1"/>
  <c r="F510" i="1"/>
  <c r="G510" i="1"/>
  <c r="H510" i="1"/>
  <c r="I510" i="1"/>
  <c r="C4336" i="1"/>
  <c r="D4336" i="1"/>
  <c r="E4336" i="1"/>
  <c r="F4336" i="1"/>
  <c r="G4336" i="1"/>
  <c r="H4336" i="1"/>
  <c r="I4336" i="1"/>
  <c r="C305" i="1"/>
  <c r="D305" i="1"/>
  <c r="E305" i="1"/>
  <c r="F305" i="1"/>
  <c r="G305" i="1"/>
  <c r="H305" i="1"/>
  <c r="I305" i="1"/>
  <c r="C1620" i="1"/>
  <c r="D1620" i="1"/>
  <c r="E1620" i="1"/>
  <c r="F1620" i="1"/>
  <c r="G1620" i="1"/>
  <c r="H1620" i="1"/>
  <c r="I1620" i="1"/>
  <c r="C1621" i="1"/>
  <c r="D1621" i="1"/>
  <c r="E1621" i="1"/>
  <c r="F1621" i="1"/>
  <c r="G1621" i="1"/>
  <c r="H1621" i="1"/>
  <c r="I1621" i="1"/>
  <c r="C1780" i="1"/>
  <c r="D1780" i="1"/>
  <c r="E1780" i="1"/>
  <c r="F1780" i="1"/>
  <c r="G1780" i="1"/>
  <c r="H1780" i="1"/>
  <c r="I1780" i="1"/>
  <c r="C810" i="1"/>
  <c r="D810" i="1"/>
  <c r="E810" i="1"/>
  <c r="F810" i="1"/>
  <c r="G810" i="1"/>
  <c r="H810" i="1"/>
  <c r="I810" i="1"/>
  <c r="C1488" i="1"/>
  <c r="D1488" i="1"/>
  <c r="E1488" i="1"/>
  <c r="F1488" i="1"/>
  <c r="G1488" i="1"/>
  <c r="H1488" i="1"/>
  <c r="I1488" i="1"/>
  <c r="C4131" i="1"/>
  <c r="D4131" i="1"/>
  <c r="E4131" i="1"/>
  <c r="F4131" i="1"/>
  <c r="G4131" i="1"/>
  <c r="H4131" i="1"/>
  <c r="I4131" i="1"/>
  <c r="C1901" i="1"/>
  <c r="D1901" i="1"/>
  <c r="E1901" i="1"/>
  <c r="F1901" i="1"/>
  <c r="G1901" i="1"/>
  <c r="H1901" i="1"/>
  <c r="I1901" i="1"/>
  <c r="C1350" i="1"/>
  <c r="D1350" i="1"/>
  <c r="E1350" i="1"/>
  <c r="F1350" i="1"/>
  <c r="G1350" i="1"/>
  <c r="H1350" i="1"/>
  <c r="I1350" i="1"/>
  <c r="C1489" i="1"/>
  <c r="D1489" i="1"/>
  <c r="E1489" i="1"/>
  <c r="F1489" i="1"/>
  <c r="G1489" i="1"/>
  <c r="H1489" i="1"/>
  <c r="I1489" i="1"/>
  <c r="C1622" i="1"/>
  <c r="D1622" i="1"/>
  <c r="E1622" i="1"/>
  <c r="F1622" i="1"/>
  <c r="G1622" i="1"/>
  <c r="H1622" i="1"/>
  <c r="I1622" i="1"/>
  <c r="C1623" i="1"/>
  <c r="D1623" i="1"/>
  <c r="E1623" i="1"/>
  <c r="F1623" i="1"/>
  <c r="G1623" i="1"/>
  <c r="H1623" i="1"/>
  <c r="I1623" i="1"/>
  <c r="C1624" i="1"/>
  <c r="D1624" i="1"/>
  <c r="E1624" i="1"/>
  <c r="F1624" i="1"/>
  <c r="G1624" i="1"/>
  <c r="H1624" i="1"/>
  <c r="I1624" i="1"/>
  <c r="C1625" i="1"/>
  <c r="D1625" i="1"/>
  <c r="E1625" i="1"/>
  <c r="F1625" i="1"/>
  <c r="G1625" i="1"/>
  <c r="H1625" i="1"/>
  <c r="I1625" i="1"/>
  <c r="C1902" i="1"/>
  <c r="D1902" i="1"/>
  <c r="E1902" i="1"/>
  <c r="F1902" i="1"/>
  <c r="G1902" i="1"/>
  <c r="H1902" i="1"/>
  <c r="I1902" i="1"/>
  <c r="C1903" i="1"/>
  <c r="D1903" i="1"/>
  <c r="E1903" i="1"/>
  <c r="F1903" i="1"/>
  <c r="G1903" i="1"/>
  <c r="H1903" i="1"/>
  <c r="I1903" i="1"/>
  <c r="C2412" i="1"/>
  <c r="D2412" i="1"/>
  <c r="E2412" i="1"/>
  <c r="F2412" i="1"/>
  <c r="G2412" i="1"/>
  <c r="H2412" i="1"/>
  <c r="I2412" i="1"/>
  <c r="C2413" i="1"/>
  <c r="D2413" i="1"/>
  <c r="E2413" i="1"/>
  <c r="F2413" i="1"/>
  <c r="G2413" i="1"/>
  <c r="H2413" i="1"/>
  <c r="I2413" i="1"/>
  <c r="C2414" i="1"/>
  <c r="D2414" i="1"/>
  <c r="E2414" i="1"/>
  <c r="F2414" i="1"/>
  <c r="G2414" i="1"/>
  <c r="H2414" i="1"/>
  <c r="I2414" i="1"/>
  <c r="C3580" i="1"/>
  <c r="D3580" i="1"/>
  <c r="E3580" i="1"/>
  <c r="F3580" i="1"/>
  <c r="G3580" i="1"/>
  <c r="H3580" i="1"/>
  <c r="I3580" i="1"/>
  <c r="C4193" i="1"/>
  <c r="D4193" i="1"/>
  <c r="E4193" i="1"/>
  <c r="F4193" i="1"/>
  <c r="G4193" i="1"/>
  <c r="H4193" i="1"/>
  <c r="I4193" i="1"/>
  <c r="C3396" i="1"/>
  <c r="D3396" i="1"/>
  <c r="E3396" i="1"/>
  <c r="F3396" i="1"/>
  <c r="G3396" i="1"/>
  <c r="H3396" i="1"/>
  <c r="I3396" i="1"/>
  <c r="C2034" i="1"/>
  <c r="D2034" i="1"/>
  <c r="E2034" i="1"/>
  <c r="F2034" i="1"/>
  <c r="G2034" i="1"/>
  <c r="H2034" i="1"/>
  <c r="I2034" i="1"/>
  <c r="C2415" i="1"/>
  <c r="D2415" i="1"/>
  <c r="E2415" i="1"/>
  <c r="F2415" i="1"/>
  <c r="G2415" i="1"/>
  <c r="H2415" i="1"/>
  <c r="I2415" i="1"/>
  <c r="C54" i="1"/>
  <c r="D54" i="1"/>
  <c r="E54" i="1"/>
  <c r="F54" i="1"/>
  <c r="G54" i="1"/>
  <c r="H54" i="1"/>
  <c r="I54" i="1"/>
  <c r="C1904" i="1"/>
  <c r="D1904" i="1"/>
  <c r="E1904" i="1"/>
  <c r="F1904" i="1"/>
  <c r="G1904" i="1"/>
  <c r="H1904" i="1"/>
  <c r="I1904" i="1"/>
  <c r="C1214" i="1"/>
  <c r="D1214" i="1"/>
  <c r="E1214" i="1"/>
  <c r="F1214" i="1"/>
  <c r="G1214" i="1"/>
  <c r="H1214" i="1"/>
  <c r="I1214" i="1"/>
  <c r="C4337" i="1"/>
  <c r="D4337" i="1"/>
  <c r="E4337" i="1"/>
  <c r="F4337" i="1"/>
  <c r="G4337" i="1"/>
  <c r="H4337" i="1"/>
  <c r="I4337" i="1"/>
  <c r="C633" i="1"/>
  <c r="D633" i="1"/>
  <c r="E633" i="1"/>
  <c r="F633" i="1"/>
  <c r="G633" i="1"/>
  <c r="H633" i="1"/>
  <c r="I633" i="1"/>
  <c r="C1781" i="1"/>
  <c r="D1781" i="1"/>
  <c r="E1781" i="1"/>
  <c r="F1781" i="1"/>
  <c r="G1781" i="1"/>
  <c r="H1781" i="1"/>
  <c r="I1781" i="1"/>
  <c r="C166" i="1"/>
  <c r="D166" i="1"/>
  <c r="E166" i="1"/>
  <c r="F166" i="1"/>
  <c r="G166" i="1"/>
  <c r="H166" i="1"/>
  <c r="I166" i="1"/>
  <c r="C2154" i="1"/>
  <c r="D2154" i="1"/>
  <c r="E2154" i="1"/>
  <c r="F2154" i="1"/>
  <c r="G2154" i="1"/>
  <c r="H2154" i="1"/>
  <c r="I2154" i="1"/>
  <c r="C4338" i="1"/>
  <c r="D4338" i="1"/>
  <c r="E4338" i="1"/>
  <c r="F4338" i="1"/>
  <c r="G4338" i="1"/>
  <c r="H4338" i="1"/>
  <c r="I4338" i="1"/>
  <c r="C4339" i="1"/>
  <c r="D4339" i="1"/>
  <c r="E4339" i="1"/>
  <c r="F4339" i="1"/>
  <c r="G4339" i="1"/>
  <c r="H4339" i="1"/>
  <c r="I4339" i="1"/>
  <c r="C4340" i="1"/>
  <c r="D4340" i="1"/>
  <c r="E4340" i="1"/>
  <c r="F4340" i="1"/>
  <c r="G4340" i="1"/>
  <c r="H4340" i="1"/>
  <c r="I4340" i="1"/>
  <c r="C394" i="1"/>
  <c r="D394" i="1"/>
  <c r="E394" i="1"/>
  <c r="F394" i="1"/>
  <c r="G394" i="1"/>
  <c r="H394" i="1"/>
  <c r="I394" i="1"/>
  <c r="C2290" i="1"/>
  <c r="D2290" i="1"/>
  <c r="E2290" i="1"/>
  <c r="F2290" i="1"/>
  <c r="G2290" i="1"/>
  <c r="H2290" i="1"/>
  <c r="I2290" i="1"/>
  <c r="C3991" i="1"/>
  <c r="D3991" i="1"/>
  <c r="E3991" i="1"/>
  <c r="F3991" i="1"/>
  <c r="G3991" i="1"/>
  <c r="H3991" i="1"/>
  <c r="I3991" i="1"/>
  <c r="C1076" i="1"/>
  <c r="D1076" i="1"/>
  <c r="E1076" i="1"/>
  <c r="F1076" i="1"/>
  <c r="G1076" i="1"/>
  <c r="H1076" i="1"/>
  <c r="I1076" i="1"/>
  <c r="C4341" i="1"/>
  <c r="D4341" i="1"/>
  <c r="E4341" i="1"/>
  <c r="F4341" i="1"/>
  <c r="G4341" i="1"/>
  <c r="H4341" i="1"/>
  <c r="I4341" i="1"/>
  <c r="C4342" i="1"/>
  <c r="D4342" i="1"/>
  <c r="E4342" i="1"/>
  <c r="F4342" i="1"/>
  <c r="G4342" i="1"/>
  <c r="H4342" i="1"/>
  <c r="I4342" i="1"/>
  <c r="C4343" i="1"/>
  <c r="D4343" i="1"/>
  <c r="E4343" i="1"/>
  <c r="F4343" i="1"/>
  <c r="G4343" i="1"/>
  <c r="H4343" i="1"/>
  <c r="I4343" i="1"/>
  <c r="C3180" i="1"/>
  <c r="D3180" i="1"/>
  <c r="E3180" i="1"/>
  <c r="F3180" i="1"/>
  <c r="G3180" i="1"/>
  <c r="H3180" i="1"/>
  <c r="I3180" i="1"/>
  <c r="C3047" i="1"/>
  <c r="D3047" i="1"/>
  <c r="E3047" i="1"/>
  <c r="F3047" i="1"/>
  <c r="G3047" i="1"/>
  <c r="H3047" i="1"/>
  <c r="I3047" i="1"/>
  <c r="C2438" i="1"/>
  <c r="D2438" i="1"/>
  <c r="E2438" i="1"/>
  <c r="F2438" i="1"/>
  <c r="G2438" i="1"/>
  <c r="H2438" i="1"/>
  <c r="I2438" i="1"/>
  <c r="C3251" i="1"/>
  <c r="D3251" i="1"/>
  <c r="E3251" i="1"/>
  <c r="F3251" i="1"/>
  <c r="G3251" i="1"/>
  <c r="H3251" i="1"/>
  <c r="I3251" i="1"/>
  <c r="C3332" i="1"/>
  <c r="D3332" i="1"/>
  <c r="E3332" i="1"/>
  <c r="F3332" i="1"/>
  <c r="G3332" i="1"/>
  <c r="H3332" i="1"/>
  <c r="I3332" i="1"/>
  <c r="C2155" i="1"/>
  <c r="D2155" i="1"/>
  <c r="E2155" i="1"/>
  <c r="F2155" i="1"/>
  <c r="G2155" i="1"/>
  <c r="H2155" i="1"/>
  <c r="I2155" i="1"/>
  <c r="C4344" i="1"/>
  <c r="D4344" i="1"/>
  <c r="E4344" i="1"/>
  <c r="F4344" i="1"/>
  <c r="G4344" i="1"/>
  <c r="H4344" i="1"/>
  <c r="I4344" i="1"/>
  <c r="C4345" i="1"/>
  <c r="D4345" i="1"/>
  <c r="E4345" i="1"/>
  <c r="F4345" i="1"/>
  <c r="G4345" i="1"/>
  <c r="H4345" i="1"/>
  <c r="I4345" i="1"/>
  <c r="C27" i="1"/>
  <c r="D27" i="1"/>
  <c r="E27" i="1"/>
  <c r="F27" i="1"/>
  <c r="G27" i="1"/>
  <c r="H27" i="1"/>
  <c r="I27" i="1"/>
  <c r="C55" i="1"/>
  <c r="D55" i="1"/>
  <c r="E55" i="1"/>
  <c r="F55" i="1"/>
  <c r="G55" i="1"/>
  <c r="H55" i="1"/>
  <c r="I55" i="1"/>
  <c r="C84" i="1"/>
  <c r="D84" i="1"/>
  <c r="E84" i="1"/>
  <c r="F84" i="1"/>
  <c r="G84" i="1"/>
  <c r="H84" i="1"/>
  <c r="I84" i="1"/>
  <c r="C167" i="1"/>
  <c r="D167" i="1"/>
  <c r="E167" i="1"/>
  <c r="F167" i="1"/>
  <c r="G167" i="1"/>
  <c r="H167" i="1"/>
  <c r="I167" i="1"/>
  <c r="C634" i="1"/>
  <c r="D634" i="1"/>
  <c r="E634" i="1"/>
  <c r="F634" i="1"/>
  <c r="G634" i="1"/>
  <c r="H634" i="1"/>
  <c r="I634" i="1"/>
  <c r="C811" i="1"/>
  <c r="D811" i="1"/>
  <c r="E811" i="1"/>
  <c r="F811" i="1"/>
  <c r="G811" i="1"/>
  <c r="H811" i="1"/>
  <c r="I811" i="1"/>
  <c r="C2207" i="1"/>
  <c r="D2207" i="1"/>
  <c r="E2207" i="1"/>
  <c r="F2207" i="1"/>
  <c r="G2207" i="1"/>
  <c r="H2207" i="1"/>
  <c r="I2207" i="1"/>
  <c r="C2201" i="1"/>
  <c r="D2201" i="1"/>
  <c r="E2201" i="1"/>
  <c r="F2201" i="1"/>
  <c r="G2201" i="1"/>
  <c r="H2201" i="1"/>
  <c r="I2201" i="1"/>
  <c r="C937" i="1"/>
  <c r="D937" i="1"/>
  <c r="E937" i="1"/>
  <c r="F937" i="1"/>
  <c r="G937" i="1"/>
  <c r="H937" i="1"/>
  <c r="I937" i="1"/>
  <c r="C938" i="1"/>
  <c r="D938" i="1"/>
  <c r="E938" i="1"/>
  <c r="F938" i="1"/>
  <c r="G938" i="1"/>
  <c r="H938" i="1"/>
  <c r="I938" i="1"/>
  <c r="C1077" i="1"/>
  <c r="D1077" i="1"/>
  <c r="E1077" i="1"/>
  <c r="F1077" i="1"/>
  <c r="G1077" i="1"/>
  <c r="H1077" i="1"/>
  <c r="I1077" i="1"/>
  <c r="C1078" i="1"/>
  <c r="D1078" i="1"/>
  <c r="E1078" i="1"/>
  <c r="F1078" i="1"/>
  <c r="G1078" i="1"/>
  <c r="H1078" i="1"/>
  <c r="I1078" i="1"/>
  <c r="C1215" i="1"/>
  <c r="D1215" i="1"/>
  <c r="E1215" i="1"/>
  <c r="F1215" i="1"/>
  <c r="G1215" i="1"/>
  <c r="H1215" i="1"/>
  <c r="I1215" i="1"/>
  <c r="C1216" i="1"/>
  <c r="D1216" i="1"/>
  <c r="E1216" i="1"/>
  <c r="F1216" i="1"/>
  <c r="G1216" i="1"/>
  <c r="H1216" i="1"/>
  <c r="I1216" i="1"/>
  <c r="C1490" i="1"/>
  <c r="D1490" i="1"/>
  <c r="E1490" i="1"/>
  <c r="F1490" i="1"/>
  <c r="G1490" i="1"/>
  <c r="H1490" i="1"/>
  <c r="I1490" i="1"/>
  <c r="C1491" i="1"/>
  <c r="D1491" i="1"/>
  <c r="E1491" i="1"/>
  <c r="F1491" i="1"/>
  <c r="G1491" i="1"/>
  <c r="H1491" i="1"/>
  <c r="I1491" i="1"/>
  <c r="C1626" i="1"/>
  <c r="D1626" i="1"/>
  <c r="E1626" i="1"/>
  <c r="F1626" i="1"/>
  <c r="G1626" i="1"/>
  <c r="H1626" i="1"/>
  <c r="I1626" i="1"/>
  <c r="C1627" i="1"/>
  <c r="D1627" i="1"/>
  <c r="E1627" i="1"/>
  <c r="F1627" i="1"/>
  <c r="G1627" i="1"/>
  <c r="H1627" i="1"/>
  <c r="I1627" i="1"/>
  <c r="C1628" i="1"/>
  <c r="D1628" i="1"/>
  <c r="E1628" i="1"/>
  <c r="F1628" i="1"/>
  <c r="G1628" i="1"/>
  <c r="H1628" i="1"/>
  <c r="I1628" i="1"/>
  <c r="C1782" i="1"/>
  <c r="D1782" i="1"/>
  <c r="E1782" i="1"/>
  <c r="F1782" i="1"/>
  <c r="G1782" i="1"/>
  <c r="H1782" i="1"/>
  <c r="I1782" i="1"/>
  <c r="C1783" i="1"/>
  <c r="D1783" i="1"/>
  <c r="E1783" i="1"/>
  <c r="F1783" i="1"/>
  <c r="G1783" i="1"/>
  <c r="H1783" i="1"/>
  <c r="I1783" i="1"/>
  <c r="C1905" i="1"/>
  <c r="D1905" i="1"/>
  <c r="E1905" i="1"/>
  <c r="F1905" i="1"/>
  <c r="G1905" i="1"/>
  <c r="H1905" i="1"/>
  <c r="I1905" i="1"/>
  <c r="C1906" i="1"/>
  <c r="D1906" i="1"/>
  <c r="E1906" i="1"/>
  <c r="F1906" i="1"/>
  <c r="G1906" i="1"/>
  <c r="H1906" i="1"/>
  <c r="I1906" i="1"/>
  <c r="C2035" i="1"/>
  <c r="D2035" i="1"/>
  <c r="E2035" i="1"/>
  <c r="F2035" i="1"/>
  <c r="G2035" i="1"/>
  <c r="H2035" i="1"/>
  <c r="I2035" i="1"/>
  <c r="C975" i="1"/>
  <c r="D975" i="1"/>
  <c r="E975" i="1"/>
  <c r="F975" i="1"/>
  <c r="G975" i="1"/>
  <c r="H975" i="1"/>
  <c r="I975" i="1"/>
  <c r="C2416" i="1"/>
  <c r="D2416" i="1"/>
  <c r="E2416" i="1"/>
  <c r="F2416" i="1"/>
  <c r="G2416" i="1"/>
  <c r="H2416" i="1"/>
  <c r="I2416" i="1"/>
  <c r="C2647" i="1"/>
  <c r="D2647" i="1"/>
  <c r="E2647" i="1"/>
  <c r="F2647" i="1"/>
  <c r="G2647" i="1"/>
  <c r="H2647" i="1"/>
  <c r="I2647" i="1"/>
  <c r="C2766" i="1"/>
  <c r="D2766" i="1"/>
  <c r="E2766" i="1"/>
  <c r="F2766" i="1"/>
  <c r="G2766" i="1"/>
  <c r="H2766" i="1"/>
  <c r="I2766" i="1"/>
  <c r="C2767" i="1"/>
  <c r="D2767" i="1"/>
  <c r="E2767" i="1"/>
  <c r="F2767" i="1"/>
  <c r="G2767" i="1"/>
  <c r="H2767" i="1"/>
  <c r="I2767" i="1"/>
  <c r="C2768" i="1"/>
  <c r="D2768" i="1"/>
  <c r="E2768" i="1"/>
  <c r="F2768" i="1"/>
  <c r="G2768" i="1"/>
  <c r="H2768" i="1"/>
  <c r="I2768" i="1"/>
  <c r="C2859" i="1"/>
  <c r="D2859" i="1"/>
  <c r="E2859" i="1"/>
  <c r="F2859" i="1"/>
  <c r="G2859" i="1"/>
  <c r="H2859" i="1"/>
  <c r="I2859" i="1"/>
  <c r="C2860" i="1"/>
  <c r="D2860" i="1"/>
  <c r="E2860" i="1"/>
  <c r="F2860" i="1"/>
  <c r="G2860" i="1"/>
  <c r="H2860" i="1"/>
  <c r="I2860" i="1"/>
  <c r="C2974" i="1"/>
  <c r="D2974" i="1"/>
  <c r="E2974" i="1"/>
  <c r="F2974" i="1"/>
  <c r="G2974" i="1"/>
  <c r="H2974" i="1"/>
  <c r="I2974" i="1"/>
  <c r="C2975" i="1"/>
  <c r="D2975" i="1"/>
  <c r="E2975" i="1"/>
  <c r="F2975" i="1"/>
  <c r="G2975" i="1"/>
  <c r="H2975" i="1"/>
  <c r="I2975" i="1"/>
  <c r="C3048" i="1"/>
  <c r="D3048" i="1"/>
  <c r="E3048" i="1"/>
  <c r="F3048" i="1"/>
  <c r="G3048" i="1"/>
  <c r="H3048" i="1"/>
  <c r="I3048" i="1"/>
  <c r="C3049" i="1"/>
  <c r="D3049" i="1"/>
  <c r="E3049" i="1"/>
  <c r="F3049" i="1"/>
  <c r="G3049" i="1"/>
  <c r="H3049" i="1"/>
  <c r="I3049" i="1"/>
  <c r="C3397" i="1"/>
  <c r="D3397" i="1"/>
  <c r="E3397" i="1"/>
  <c r="F3397" i="1"/>
  <c r="G3397" i="1"/>
  <c r="H3397" i="1"/>
  <c r="I3397" i="1"/>
  <c r="C3646" i="1"/>
  <c r="D3646" i="1"/>
  <c r="E3646" i="1"/>
  <c r="F3646" i="1"/>
  <c r="G3646" i="1"/>
  <c r="H3646" i="1"/>
  <c r="I3646" i="1"/>
  <c r="C3691" i="1"/>
  <c r="D3691" i="1"/>
  <c r="E3691" i="1"/>
  <c r="F3691" i="1"/>
  <c r="G3691" i="1"/>
  <c r="H3691" i="1"/>
  <c r="I3691" i="1"/>
  <c r="C3692" i="1"/>
  <c r="D3692" i="1"/>
  <c r="E3692" i="1"/>
  <c r="F3692" i="1"/>
  <c r="G3692" i="1"/>
  <c r="H3692" i="1"/>
  <c r="I3692" i="1"/>
  <c r="C3742" i="1"/>
  <c r="D3742" i="1"/>
  <c r="E3742" i="1"/>
  <c r="F3742" i="1"/>
  <c r="G3742" i="1"/>
  <c r="H3742" i="1"/>
  <c r="I3742" i="1"/>
  <c r="C3794" i="1"/>
  <c r="D3794" i="1"/>
  <c r="E3794" i="1"/>
  <c r="F3794" i="1"/>
  <c r="G3794" i="1"/>
  <c r="H3794" i="1"/>
  <c r="I3794" i="1"/>
  <c r="C3926" i="1"/>
  <c r="D3926" i="1"/>
  <c r="E3926" i="1"/>
  <c r="F3926" i="1"/>
  <c r="G3926" i="1"/>
  <c r="H3926" i="1"/>
  <c r="I3926" i="1"/>
  <c r="C3960" i="1"/>
  <c r="D3960" i="1"/>
  <c r="E3960" i="1"/>
  <c r="F3960" i="1"/>
  <c r="G3960" i="1"/>
  <c r="H3960" i="1"/>
  <c r="I3960" i="1"/>
  <c r="C3961" i="1"/>
  <c r="D3961" i="1"/>
  <c r="E3961" i="1"/>
  <c r="F3961" i="1"/>
  <c r="G3961" i="1"/>
  <c r="H3961" i="1"/>
  <c r="I3961" i="1"/>
  <c r="C3992" i="1"/>
  <c r="D3992" i="1"/>
  <c r="E3992" i="1"/>
  <c r="F3992" i="1"/>
  <c r="G3992" i="1"/>
  <c r="H3992" i="1"/>
  <c r="I3992" i="1"/>
  <c r="C3993" i="1"/>
  <c r="D3993" i="1"/>
  <c r="E3993" i="1"/>
  <c r="F3993" i="1"/>
  <c r="G3993" i="1"/>
  <c r="H3993" i="1"/>
  <c r="I3993" i="1"/>
  <c r="C3994" i="1"/>
  <c r="D3994" i="1"/>
  <c r="E3994" i="1"/>
  <c r="F3994" i="1"/>
  <c r="G3994" i="1"/>
  <c r="H3994" i="1"/>
  <c r="I3994" i="1"/>
  <c r="C3995" i="1"/>
  <c r="D3995" i="1"/>
  <c r="E3995" i="1"/>
  <c r="F3995" i="1"/>
  <c r="G3995" i="1"/>
  <c r="H3995" i="1"/>
  <c r="I3995" i="1"/>
  <c r="C4346" i="1"/>
  <c r="D4346" i="1"/>
  <c r="E4346" i="1"/>
  <c r="F4346" i="1"/>
  <c r="G4346" i="1"/>
  <c r="H4346" i="1"/>
  <c r="I4346" i="1"/>
  <c r="C4347" i="1"/>
  <c r="D4347" i="1"/>
  <c r="E4347" i="1"/>
  <c r="F4347" i="1"/>
  <c r="G4347" i="1"/>
  <c r="H4347" i="1"/>
  <c r="I4347" i="1"/>
  <c r="C4120" i="1"/>
  <c r="D4120" i="1"/>
  <c r="E4120" i="1"/>
  <c r="F4120" i="1"/>
  <c r="G4120" i="1"/>
  <c r="H4120" i="1"/>
  <c r="I4120" i="1"/>
  <c r="C3996" i="1"/>
  <c r="D3996" i="1"/>
  <c r="E3996" i="1"/>
  <c r="F3996" i="1"/>
  <c r="G3996" i="1"/>
  <c r="H3996" i="1"/>
  <c r="I3996" i="1"/>
  <c r="C3252" i="1"/>
  <c r="D3252" i="1"/>
  <c r="E3252" i="1"/>
  <c r="F3252" i="1"/>
  <c r="G3252" i="1"/>
  <c r="H3252" i="1"/>
  <c r="I3252" i="1"/>
  <c r="C687" i="1"/>
  <c r="D687" i="1"/>
  <c r="E687" i="1"/>
  <c r="F687" i="1"/>
  <c r="G687" i="1"/>
  <c r="H687" i="1"/>
  <c r="I687" i="1"/>
  <c r="C1784" i="1"/>
  <c r="D1784" i="1"/>
  <c r="E1784" i="1"/>
  <c r="F1784" i="1"/>
  <c r="G1784" i="1"/>
  <c r="H1784" i="1"/>
  <c r="I1784" i="1"/>
  <c r="C265" i="1"/>
  <c r="D265" i="1"/>
  <c r="E265" i="1"/>
  <c r="F265" i="1"/>
  <c r="G265" i="1"/>
  <c r="H265" i="1"/>
  <c r="I265" i="1"/>
  <c r="C306" i="1"/>
  <c r="D306" i="1"/>
  <c r="E306" i="1"/>
  <c r="F306" i="1"/>
  <c r="G306" i="1"/>
  <c r="H306" i="1"/>
  <c r="I306" i="1"/>
  <c r="C688" i="1"/>
  <c r="D688" i="1"/>
  <c r="E688" i="1"/>
  <c r="F688" i="1"/>
  <c r="G688" i="1"/>
  <c r="H688" i="1"/>
  <c r="I688" i="1"/>
  <c r="C3849" i="1"/>
  <c r="D3849" i="1"/>
  <c r="E3849" i="1"/>
  <c r="F3849" i="1"/>
  <c r="G3849" i="1"/>
  <c r="H3849" i="1"/>
  <c r="I3849" i="1"/>
  <c r="C3743" i="1"/>
  <c r="D3743" i="1"/>
  <c r="E3743" i="1"/>
  <c r="F3743" i="1"/>
  <c r="G3743" i="1"/>
  <c r="H3743" i="1"/>
  <c r="I3743" i="1"/>
  <c r="C3927" i="1"/>
  <c r="D3927" i="1"/>
  <c r="E3927" i="1"/>
  <c r="F3927" i="1"/>
  <c r="G3927" i="1"/>
  <c r="H3927" i="1"/>
  <c r="I3927" i="1"/>
  <c r="C3892" i="1"/>
  <c r="D3892" i="1"/>
  <c r="E3892" i="1"/>
  <c r="F3892" i="1"/>
  <c r="G3892" i="1"/>
  <c r="H3892" i="1"/>
  <c r="I3892" i="1"/>
  <c r="C3893" i="1"/>
  <c r="D3893" i="1"/>
  <c r="E3893" i="1"/>
  <c r="F3893" i="1"/>
  <c r="G3893" i="1"/>
  <c r="H3893" i="1"/>
  <c r="I3893" i="1"/>
  <c r="C3962" i="1"/>
  <c r="D3962" i="1"/>
  <c r="E3962" i="1"/>
  <c r="F3962" i="1"/>
  <c r="G3962" i="1"/>
  <c r="H3962" i="1"/>
  <c r="I3962" i="1"/>
  <c r="C1079" i="1"/>
  <c r="D1079" i="1"/>
  <c r="E1079" i="1"/>
  <c r="F1079" i="1"/>
  <c r="G1079" i="1"/>
  <c r="H1079" i="1"/>
  <c r="I1079" i="1"/>
  <c r="C3928" i="1"/>
  <c r="D3928" i="1"/>
  <c r="E3928" i="1"/>
  <c r="F3928" i="1"/>
  <c r="G3928" i="1"/>
  <c r="H3928" i="1"/>
  <c r="I3928" i="1"/>
  <c r="C3850" i="1"/>
  <c r="D3850" i="1"/>
  <c r="E3850" i="1"/>
  <c r="F3850" i="1"/>
  <c r="G3850" i="1"/>
  <c r="H3850" i="1"/>
  <c r="I3850" i="1"/>
  <c r="C3795" i="1"/>
  <c r="D3795" i="1"/>
  <c r="E3795" i="1"/>
  <c r="F3795" i="1"/>
  <c r="G3795" i="1"/>
  <c r="H3795" i="1"/>
  <c r="I3795" i="1"/>
  <c r="C3929" i="1"/>
  <c r="D3929" i="1"/>
  <c r="E3929" i="1"/>
  <c r="F3929" i="1"/>
  <c r="G3929" i="1"/>
  <c r="H3929" i="1"/>
  <c r="I3929" i="1"/>
  <c r="C3930" i="1"/>
  <c r="D3930" i="1"/>
  <c r="E3930" i="1"/>
  <c r="F3930" i="1"/>
  <c r="G3930" i="1"/>
  <c r="H3930" i="1"/>
  <c r="I3930" i="1"/>
  <c r="C2036" i="1"/>
  <c r="D2036" i="1"/>
  <c r="E2036" i="1"/>
  <c r="F2036" i="1"/>
  <c r="G2036" i="1"/>
  <c r="H2036" i="1"/>
  <c r="I2036" i="1"/>
  <c r="C2156" i="1"/>
  <c r="D2156" i="1"/>
  <c r="E2156" i="1"/>
  <c r="F2156" i="1"/>
  <c r="G2156" i="1"/>
  <c r="H2156" i="1"/>
  <c r="I2156" i="1"/>
  <c r="C2157" i="1"/>
  <c r="D2157" i="1"/>
  <c r="E2157" i="1"/>
  <c r="F2157" i="1"/>
  <c r="G2157" i="1"/>
  <c r="H2157" i="1"/>
  <c r="I2157" i="1"/>
  <c r="C2037" i="1"/>
  <c r="D2037" i="1"/>
  <c r="E2037" i="1"/>
  <c r="F2037" i="1"/>
  <c r="G2037" i="1"/>
  <c r="H2037" i="1"/>
  <c r="I2037" i="1"/>
  <c r="C2038" i="1"/>
  <c r="D2038" i="1"/>
  <c r="E2038" i="1"/>
  <c r="F2038" i="1"/>
  <c r="G2038" i="1"/>
  <c r="H2038" i="1"/>
  <c r="I2038" i="1"/>
  <c r="C1907" i="1"/>
  <c r="D1907" i="1"/>
  <c r="E1907" i="1"/>
  <c r="F1907" i="1"/>
  <c r="G1907" i="1"/>
  <c r="H1907" i="1"/>
  <c r="I1907" i="1"/>
  <c r="C2648" i="1"/>
  <c r="D2648" i="1"/>
  <c r="E2648" i="1"/>
  <c r="F2648" i="1"/>
  <c r="G2648" i="1"/>
  <c r="H2648" i="1"/>
  <c r="I2648" i="1"/>
  <c r="C2769" i="1"/>
  <c r="D2769" i="1"/>
  <c r="E2769" i="1"/>
  <c r="F2769" i="1"/>
  <c r="G2769" i="1"/>
  <c r="H2769" i="1"/>
  <c r="I2769" i="1"/>
  <c r="C812" i="1"/>
  <c r="D812" i="1"/>
  <c r="E812" i="1"/>
  <c r="F812" i="1"/>
  <c r="G812" i="1"/>
  <c r="H812" i="1"/>
  <c r="I812" i="1"/>
  <c r="C689" i="1"/>
  <c r="D689" i="1"/>
  <c r="E689" i="1"/>
  <c r="F689" i="1"/>
  <c r="G689" i="1"/>
  <c r="H689" i="1"/>
  <c r="I689" i="1"/>
  <c r="C690" i="1"/>
  <c r="D690" i="1"/>
  <c r="E690" i="1"/>
  <c r="F690" i="1"/>
  <c r="G690" i="1"/>
  <c r="H690" i="1"/>
  <c r="I690" i="1"/>
  <c r="C635" i="1"/>
  <c r="D635" i="1"/>
  <c r="E635" i="1"/>
  <c r="F635" i="1"/>
  <c r="G635" i="1"/>
  <c r="H635" i="1"/>
  <c r="I635" i="1"/>
  <c r="C691" i="1"/>
  <c r="D691" i="1"/>
  <c r="E691" i="1"/>
  <c r="F691" i="1"/>
  <c r="G691" i="1"/>
  <c r="H691" i="1"/>
  <c r="I691" i="1"/>
  <c r="C692" i="1"/>
  <c r="D692" i="1"/>
  <c r="E692" i="1"/>
  <c r="F692" i="1"/>
  <c r="G692" i="1"/>
  <c r="H692" i="1"/>
  <c r="I692" i="1"/>
  <c r="C813" i="1"/>
  <c r="D813" i="1"/>
  <c r="E813" i="1"/>
  <c r="F813" i="1"/>
  <c r="G813" i="1"/>
  <c r="H813" i="1"/>
  <c r="I813" i="1"/>
  <c r="C566" i="1"/>
  <c r="D566" i="1"/>
  <c r="E566" i="1"/>
  <c r="F566" i="1"/>
  <c r="G566" i="1"/>
  <c r="H566" i="1"/>
  <c r="I566" i="1"/>
  <c r="C636" i="1"/>
  <c r="D636" i="1"/>
  <c r="E636" i="1"/>
  <c r="F636" i="1"/>
  <c r="G636" i="1"/>
  <c r="H636" i="1"/>
  <c r="I636" i="1"/>
  <c r="C740" i="1"/>
  <c r="D740" i="1"/>
  <c r="E740" i="1"/>
  <c r="F740" i="1"/>
  <c r="G740" i="1"/>
  <c r="H740" i="1"/>
  <c r="I740" i="1"/>
  <c r="C1351" i="1"/>
  <c r="D1351" i="1"/>
  <c r="E1351" i="1"/>
  <c r="F1351" i="1"/>
  <c r="G1351" i="1"/>
  <c r="H1351" i="1"/>
  <c r="I1351" i="1"/>
  <c r="C814" i="1"/>
  <c r="D814" i="1"/>
  <c r="E814" i="1"/>
  <c r="F814" i="1"/>
  <c r="G814" i="1"/>
  <c r="H814" i="1"/>
  <c r="I814" i="1"/>
  <c r="C1352" i="1"/>
  <c r="D1352" i="1"/>
  <c r="E1352" i="1"/>
  <c r="F1352" i="1"/>
  <c r="G1352" i="1"/>
  <c r="H1352" i="1"/>
  <c r="I1352" i="1"/>
  <c r="C939" i="1"/>
  <c r="D939" i="1"/>
  <c r="E939" i="1"/>
  <c r="F939" i="1"/>
  <c r="G939" i="1"/>
  <c r="H939" i="1"/>
  <c r="I939" i="1"/>
  <c r="C353" i="1"/>
  <c r="D353" i="1"/>
  <c r="E353" i="1"/>
  <c r="F353" i="1"/>
  <c r="G353" i="1"/>
  <c r="H353" i="1"/>
  <c r="I353" i="1"/>
  <c r="C266" i="1"/>
  <c r="D266" i="1"/>
  <c r="E266" i="1"/>
  <c r="F266" i="1"/>
  <c r="G266" i="1"/>
  <c r="H266" i="1"/>
  <c r="I266" i="1"/>
  <c r="C11" i="1"/>
  <c r="D11" i="1"/>
  <c r="E11" i="1"/>
  <c r="F11" i="1"/>
  <c r="G11" i="1"/>
  <c r="H11" i="1"/>
  <c r="I11" i="1"/>
  <c r="C1217" i="1"/>
  <c r="D1217" i="1"/>
  <c r="E1217" i="1"/>
  <c r="F1217" i="1"/>
  <c r="G1217" i="1"/>
  <c r="H1217" i="1"/>
  <c r="I1217" i="1"/>
  <c r="C1080" i="1"/>
  <c r="D1080" i="1"/>
  <c r="E1080" i="1"/>
  <c r="F1080" i="1"/>
  <c r="G1080" i="1"/>
  <c r="H1080" i="1"/>
  <c r="I1080" i="1"/>
  <c r="C815" i="1"/>
  <c r="D815" i="1"/>
  <c r="E815" i="1"/>
  <c r="F815" i="1"/>
  <c r="G815" i="1"/>
  <c r="H815" i="1"/>
  <c r="I815" i="1"/>
  <c r="C693" i="1"/>
  <c r="D693" i="1"/>
  <c r="E693" i="1"/>
  <c r="F693" i="1"/>
  <c r="G693" i="1"/>
  <c r="H693" i="1"/>
  <c r="I693" i="1"/>
  <c r="C694" i="1"/>
  <c r="D694" i="1"/>
  <c r="E694" i="1"/>
  <c r="F694" i="1"/>
  <c r="G694" i="1"/>
  <c r="H694" i="1"/>
  <c r="I694" i="1"/>
  <c r="C741" i="1"/>
  <c r="D741" i="1"/>
  <c r="E741" i="1"/>
  <c r="F741" i="1"/>
  <c r="G741" i="1"/>
  <c r="H741" i="1"/>
  <c r="I741" i="1"/>
  <c r="C1218" i="1"/>
  <c r="D1218" i="1"/>
  <c r="E1218" i="1"/>
  <c r="F1218" i="1"/>
  <c r="G1218" i="1"/>
  <c r="H1218" i="1"/>
  <c r="I1218" i="1"/>
  <c r="C816" i="1"/>
  <c r="D816" i="1"/>
  <c r="E816" i="1"/>
  <c r="F816" i="1"/>
  <c r="G816" i="1"/>
  <c r="H816" i="1"/>
  <c r="I816" i="1"/>
  <c r="C307" i="1"/>
  <c r="D307" i="1"/>
  <c r="E307" i="1"/>
  <c r="F307" i="1"/>
  <c r="G307" i="1"/>
  <c r="H307" i="1"/>
  <c r="I307" i="1"/>
  <c r="C940" i="1"/>
  <c r="D940" i="1"/>
  <c r="E940" i="1"/>
  <c r="F940" i="1"/>
  <c r="G940" i="1"/>
  <c r="H940" i="1"/>
  <c r="I940" i="1"/>
  <c r="C1353" i="1"/>
  <c r="D1353" i="1"/>
  <c r="E1353" i="1"/>
  <c r="F1353" i="1"/>
  <c r="G1353" i="1"/>
  <c r="H1353" i="1"/>
  <c r="I1353" i="1"/>
  <c r="C3796" i="1"/>
  <c r="D3796" i="1"/>
  <c r="E3796" i="1"/>
  <c r="F3796" i="1"/>
  <c r="G3796" i="1"/>
  <c r="H3796" i="1"/>
  <c r="I3796" i="1"/>
  <c r="C567" i="1"/>
  <c r="D567" i="1"/>
  <c r="E567" i="1"/>
  <c r="F567" i="1"/>
  <c r="G567" i="1"/>
  <c r="H567" i="1"/>
  <c r="I567" i="1"/>
  <c r="C1629" i="1"/>
  <c r="D1629" i="1"/>
  <c r="E1629" i="1"/>
  <c r="F1629" i="1"/>
  <c r="G1629" i="1"/>
  <c r="H1629" i="1"/>
  <c r="I1629" i="1"/>
  <c r="C2417" i="1"/>
  <c r="D2417" i="1"/>
  <c r="E2417" i="1"/>
  <c r="F2417" i="1"/>
  <c r="G2417" i="1"/>
  <c r="H2417" i="1"/>
  <c r="I2417" i="1"/>
  <c r="C1908" i="1"/>
  <c r="D1908" i="1"/>
  <c r="E1908" i="1"/>
  <c r="F1908" i="1"/>
  <c r="G1908" i="1"/>
  <c r="H1908" i="1"/>
  <c r="I1908" i="1"/>
  <c r="C2770" i="1"/>
  <c r="D2770" i="1"/>
  <c r="E2770" i="1"/>
  <c r="F2770" i="1"/>
  <c r="G2770" i="1"/>
  <c r="H2770" i="1"/>
  <c r="I2770" i="1"/>
  <c r="C4348" i="1"/>
  <c r="D4348" i="1"/>
  <c r="E4348" i="1"/>
  <c r="F4348" i="1"/>
  <c r="G4348" i="1"/>
  <c r="H4348" i="1"/>
  <c r="I4348" i="1"/>
  <c r="C2158" i="1"/>
  <c r="D2158" i="1"/>
  <c r="E2158" i="1"/>
  <c r="F2158" i="1"/>
  <c r="G2158" i="1"/>
  <c r="H2158" i="1"/>
  <c r="I2158" i="1"/>
  <c r="C2159" i="1"/>
  <c r="D2159" i="1"/>
  <c r="E2159" i="1"/>
  <c r="F2159" i="1"/>
  <c r="G2159" i="1"/>
  <c r="H2159" i="1"/>
  <c r="I2159" i="1"/>
  <c r="C1785" i="1"/>
  <c r="D1785" i="1"/>
  <c r="E1785" i="1"/>
  <c r="F1785" i="1"/>
  <c r="G1785" i="1"/>
  <c r="H1785" i="1"/>
  <c r="I1785" i="1"/>
  <c r="C2649" i="1"/>
  <c r="D2649" i="1"/>
  <c r="E2649" i="1"/>
  <c r="F2649" i="1"/>
  <c r="G2649" i="1"/>
  <c r="H2649" i="1"/>
  <c r="I2649" i="1"/>
  <c r="C2039" i="1"/>
  <c r="D2039" i="1"/>
  <c r="E2039" i="1"/>
  <c r="F2039" i="1"/>
  <c r="G2039" i="1"/>
  <c r="H2039" i="1"/>
  <c r="I2039" i="1"/>
  <c r="C2160" i="1"/>
  <c r="D2160" i="1"/>
  <c r="E2160" i="1"/>
  <c r="F2160" i="1"/>
  <c r="G2160" i="1"/>
  <c r="H2160" i="1"/>
  <c r="I2160" i="1"/>
  <c r="C2291" i="1"/>
  <c r="D2291" i="1"/>
  <c r="E2291" i="1"/>
  <c r="F2291" i="1"/>
  <c r="G2291" i="1"/>
  <c r="H2291" i="1"/>
  <c r="I2291" i="1"/>
  <c r="C2161" i="1"/>
  <c r="D2161" i="1"/>
  <c r="E2161" i="1"/>
  <c r="F2161" i="1"/>
  <c r="G2161" i="1"/>
  <c r="H2161" i="1"/>
  <c r="I2161" i="1"/>
  <c r="C2418" i="1"/>
  <c r="D2418" i="1"/>
  <c r="E2418" i="1"/>
  <c r="F2418" i="1"/>
  <c r="G2418" i="1"/>
  <c r="H2418" i="1"/>
  <c r="I2418" i="1"/>
  <c r="C2861" i="1"/>
  <c r="D2861" i="1"/>
  <c r="E2861" i="1"/>
  <c r="F2861" i="1"/>
  <c r="G2861" i="1"/>
  <c r="H2861" i="1"/>
  <c r="I2861" i="1"/>
  <c r="C2862" i="1"/>
  <c r="D2862" i="1"/>
  <c r="E2862" i="1"/>
  <c r="F2862" i="1"/>
  <c r="G2862" i="1"/>
  <c r="H2862" i="1"/>
  <c r="I2862" i="1"/>
  <c r="C3050" i="1"/>
  <c r="D3050" i="1"/>
  <c r="E3050" i="1"/>
  <c r="F3050" i="1"/>
  <c r="G3050" i="1"/>
  <c r="H3050" i="1"/>
  <c r="I3050" i="1"/>
  <c r="C2771" i="1"/>
  <c r="D2771" i="1"/>
  <c r="E2771" i="1"/>
  <c r="F2771" i="1"/>
  <c r="G2771" i="1"/>
  <c r="H2771" i="1"/>
  <c r="I2771" i="1"/>
  <c r="C1094" i="1"/>
  <c r="D1094" i="1"/>
  <c r="E1094" i="1"/>
  <c r="F1094" i="1"/>
  <c r="G1094" i="1"/>
  <c r="H1094" i="1"/>
  <c r="I1094" i="1"/>
  <c r="C4349" i="1"/>
  <c r="D4349" i="1"/>
  <c r="E4349" i="1"/>
  <c r="F4349" i="1"/>
  <c r="G4349" i="1"/>
  <c r="H4349" i="1"/>
  <c r="I4349" i="1"/>
  <c r="C702" i="1"/>
  <c r="D702" i="1"/>
  <c r="E702" i="1"/>
  <c r="F702" i="1"/>
  <c r="G702" i="1"/>
  <c r="H702" i="1"/>
  <c r="I702" i="1"/>
  <c r="C356" i="1"/>
  <c r="D356" i="1"/>
  <c r="E356" i="1"/>
  <c r="F356" i="1"/>
  <c r="G356" i="1"/>
  <c r="H356" i="1"/>
  <c r="I356" i="1"/>
  <c r="C2863" i="1"/>
  <c r="D2863" i="1"/>
  <c r="E2863" i="1"/>
  <c r="F2863" i="1"/>
  <c r="G2863" i="1"/>
  <c r="H2863" i="1"/>
  <c r="I2863" i="1"/>
  <c r="C2419" i="1"/>
  <c r="D2419" i="1"/>
  <c r="E2419" i="1"/>
  <c r="F2419" i="1"/>
  <c r="G2419" i="1"/>
  <c r="H2419" i="1"/>
  <c r="I2419" i="1"/>
  <c r="C2668" i="1"/>
  <c r="D2668" i="1"/>
  <c r="E2668" i="1"/>
  <c r="F2668" i="1"/>
  <c r="G2668" i="1"/>
  <c r="H2668" i="1"/>
  <c r="I2668" i="1"/>
  <c r="C1909" i="1"/>
  <c r="D1909" i="1"/>
  <c r="E1909" i="1"/>
  <c r="F1909" i="1"/>
  <c r="G1909" i="1"/>
  <c r="H1909" i="1"/>
  <c r="I1909" i="1"/>
  <c r="C2040" i="1"/>
  <c r="D2040" i="1"/>
  <c r="E2040" i="1"/>
  <c r="F2040" i="1"/>
  <c r="G2040" i="1"/>
  <c r="H2040" i="1"/>
  <c r="I2040" i="1"/>
  <c r="C2420" i="1"/>
  <c r="D2420" i="1"/>
  <c r="E2420" i="1"/>
  <c r="F2420" i="1"/>
  <c r="G2420" i="1"/>
  <c r="H2420" i="1"/>
  <c r="I2420" i="1"/>
  <c r="C1219" i="1"/>
  <c r="D1219" i="1"/>
  <c r="E1219" i="1"/>
  <c r="F1219" i="1"/>
  <c r="G1219" i="1"/>
  <c r="H1219" i="1"/>
  <c r="I1219" i="1"/>
  <c r="C1354" i="1"/>
  <c r="D1354" i="1"/>
  <c r="E1354" i="1"/>
  <c r="F1354" i="1"/>
  <c r="G1354" i="1"/>
  <c r="H1354" i="1"/>
  <c r="I1354" i="1"/>
  <c r="C2864" i="1"/>
  <c r="D2864" i="1"/>
  <c r="E2864" i="1"/>
  <c r="F2864" i="1"/>
  <c r="G2864" i="1"/>
  <c r="H2864" i="1"/>
  <c r="I2864" i="1"/>
  <c r="C2976" i="1"/>
  <c r="D2976" i="1"/>
  <c r="E2976" i="1"/>
  <c r="F2976" i="1"/>
  <c r="G2976" i="1"/>
  <c r="H2976" i="1"/>
  <c r="I2976" i="1"/>
  <c r="C1492" i="1"/>
  <c r="D1492" i="1"/>
  <c r="E1492" i="1"/>
  <c r="F1492" i="1"/>
  <c r="G1492" i="1"/>
  <c r="H1492" i="1"/>
  <c r="I1492" i="1"/>
  <c r="C1220" i="1"/>
  <c r="D1220" i="1"/>
  <c r="E1220" i="1"/>
  <c r="F1220" i="1"/>
  <c r="G1220" i="1"/>
  <c r="H1220" i="1"/>
  <c r="I1220" i="1"/>
  <c r="C2650" i="1"/>
  <c r="D2650" i="1"/>
  <c r="E2650" i="1"/>
  <c r="F2650" i="1"/>
  <c r="G2650" i="1"/>
  <c r="H2650" i="1"/>
  <c r="I2650" i="1"/>
  <c r="C1502" i="1"/>
  <c r="D1502" i="1"/>
  <c r="E1502" i="1"/>
  <c r="F1502" i="1"/>
  <c r="G1502" i="1"/>
  <c r="H1502" i="1"/>
  <c r="I1502" i="1"/>
  <c r="C3696" i="1"/>
  <c r="D3696" i="1"/>
  <c r="E3696" i="1"/>
  <c r="F3696" i="1"/>
  <c r="G3696" i="1"/>
  <c r="H3696" i="1"/>
  <c r="I3696" i="1"/>
  <c r="C1630" i="1"/>
  <c r="D1630" i="1"/>
  <c r="E1630" i="1"/>
  <c r="F1630" i="1"/>
  <c r="G1630" i="1"/>
  <c r="H1630" i="1"/>
  <c r="I1630" i="1"/>
  <c r="C1355" i="1"/>
  <c r="D1355" i="1"/>
  <c r="E1355" i="1"/>
  <c r="F1355" i="1"/>
  <c r="G1355" i="1"/>
  <c r="H1355" i="1"/>
  <c r="I1355" i="1"/>
  <c r="C2041" i="1"/>
  <c r="D2041" i="1"/>
  <c r="E2041" i="1"/>
  <c r="F2041" i="1"/>
  <c r="G2041" i="1"/>
  <c r="H2041" i="1"/>
  <c r="I2041" i="1"/>
  <c r="C1786" i="1"/>
  <c r="D1786" i="1"/>
  <c r="E1786" i="1"/>
  <c r="F1786" i="1"/>
  <c r="G1786" i="1"/>
  <c r="H1786" i="1"/>
  <c r="I1786" i="1"/>
  <c r="C1631" i="1"/>
  <c r="D1631" i="1"/>
  <c r="E1631" i="1"/>
  <c r="F1631" i="1"/>
  <c r="G1631" i="1"/>
  <c r="H1631" i="1"/>
  <c r="I1631" i="1"/>
  <c r="C1787" i="1"/>
  <c r="D1787" i="1"/>
  <c r="E1787" i="1"/>
  <c r="F1787" i="1"/>
  <c r="G1787" i="1"/>
  <c r="H1787" i="1"/>
  <c r="I1787" i="1"/>
  <c r="C1356" i="1"/>
  <c r="D1356" i="1"/>
  <c r="E1356" i="1"/>
  <c r="F1356" i="1"/>
  <c r="G1356" i="1"/>
  <c r="H1356" i="1"/>
  <c r="I1356" i="1"/>
  <c r="C2042" i="1"/>
  <c r="D2042" i="1"/>
  <c r="E2042" i="1"/>
  <c r="F2042" i="1"/>
  <c r="G2042" i="1"/>
  <c r="H2042" i="1"/>
  <c r="I2042" i="1"/>
  <c r="C2292" i="1"/>
  <c r="D2292" i="1"/>
  <c r="E2292" i="1"/>
  <c r="F2292" i="1"/>
  <c r="G2292" i="1"/>
  <c r="H2292" i="1"/>
  <c r="I2292" i="1"/>
  <c r="C1910" i="1"/>
  <c r="D1910" i="1"/>
  <c r="E1910" i="1"/>
  <c r="F1910" i="1"/>
  <c r="G1910" i="1"/>
  <c r="H1910" i="1"/>
  <c r="I1910" i="1"/>
  <c r="C637" i="1"/>
  <c r="D637" i="1"/>
  <c r="E637" i="1"/>
  <c r="F637" i="1"/>
  <c r="G637" i="1"/>
  <c r="H637" i="1"/>
  <c r="I637" i="1"/>
  <c r="C2865" i="1"/>
  <c r="D2865" i="1"/>
  <c r="E2865" i="1"/>
  <c r="F2865" i="1"/>
  <c r="G2865" i="1"/>
  <c r="H2865" i="1"/>
  <c r="I2865" i="1"/>
  <c r="C1357" i="1"/>
  <c r="D1357" i="1"/>
  <c r="E1357" i="1"/>
  <c r="F1357" i="1"/>
  <c r="G1357" i="1"/>
  <c r="H1357" i="1"/>
  <c r="I1357" i="1"/>
  <c r="C3894" i="1"/>
  <c r="D3894" i="1"/>
  <c r="E3894" i="1"/>
  <c r="F3894" i="1"/>
  <c r="G3894" i="1"/>
  <c r="H3894" i="1"/>
  <c r="I3894" i="1"/>
  <c r="C742" i="1"/>
  <c r="D742" i="1"/>
  <c r="E742" i="1"/>
  <c r="F742" i="1"/>
  <c r="G742" i="1"/>
  <c r="H742" i="1"/>
  <c r="I742" i="1"/>
  <c r="C817" i="1"/>
  <c r="D817" i="1"/>
  <c r="E817" i="1"/>
  <c r="F817" i="1"/>
  <c r="G817" i="1"/>
  <c r="H817" i="1"/>
  <c r="I817" i="1"/>
  <c r="C1632" i="1"/>
  <c r="D1632" i="1"/>
  <c r="E1632" i="1"/>
  <c r="F1632" i="1"/>
  <c r="G1632" i="1"/>
  <c r="H1632" i="1"/>
  <c r="I1632" i="1"/>
  <c r="C2162" i="1"/>
  <c r="D2162" i="1"/>
  <c r="E2162" i="1"/>
  <c r="F2162" i="1"/>
  <c r="G2162" i="1"/>
  <c r="H2162" i="1"/>
  <c r="I2162" i="1"/>
  <c r="C941" i="1"/>
  <c r="D941" i="1"/>
  <c r="E941" i="1"/>
  <c r="F941" i="1"/>
  <c r="G941" i="1"/>
  <c r="H941" i="1"/>
  <c r="I941" i="1"/>
  <c r="C2043" i="1"/>
  <c r="D2043" i="1"/>
  <c r="E2043" i="1"/>
  <c r="F2043" i="1"/>
  <c r="G2043" i="1"/>
  <c r="H2043" i="1"/>
  <c r="I2043" i="1"/>
  <c r="C1081" i="1"/>
  <c r="D1081" i="1"/>
  <c r="E1081" i="1"/>
  <c r="F1081" i="1"/>
  <c r="G1081" i="1"/>
  <c r="H1081" i="1"/>
  <c r="I1081" i="1"/>
  <c r="C168" i="1"/>
  <c r="D168" i="1"/>
  <c r="E168" i="1"/>
  <c r="F168" i="1"/>
  <c r="G168" i="1"/>
  <c r="H168" i="1"/>
  <c r="I168" i="1"/>
  <c r="C395" i="1"/>
  <c r="D395" i="1"/>
  <c r="E395" i="1"/>
  <c r="F395" i="1"/>
  <c r="G395" i="1"/>
  <c r="H395" i="1"/>
  <c r="I395" i="1"/>
  <c r="C169" i="1"/>
  <c r="D169" i="1"/>
  <c r="E169" i="1"/>
  <c r="F169" i="1"/>
  <c r="G169" i="1"/>
  <c r="H169" i="1"/>
  <c r="I169" i="1"/>
  <c r="C396" i="1"/>
  <c r="D396" i="1"/>
  <c r="E396" i="1"/>
  <c r="F396" i="1"/>
  <c r="G396" i="1"/>
  <c r="H396" i="1"/>
  <c r="I396" i="1"/>
  <c r="C28" i="1"/>
  <c r="D28" i="1"/>
  <c r="E28" i="1"/>
  <c r="F28" i="1"/>
  <c r="G28" i="1"/>
  <c r="H28" i="1"/>
  <c r="I28" i="1"/>
  <c r="C3461" i="1"/>
  <c r="D3461" i="1"/>
  <c r="E3461" i="1"/>
  <c r="F3461" i="1"/>
  <c r="G3461" i="1"/>
  <c r="H3461" i="1"/>
  <c r="I3461" i="1"/>
  <c r="C1493" i="1"/>
  <c r="D1493" i="1"/>
  <c r="E1493" i="1"/>
  <c r="F1493" i="1"/>
  <c r="G1493" i="1"/>
  <c r="H1493" i="1"/>
  <c r="I1493" i="1"/>
  <c r="C4088" i="1"/>
  <c r="D4088" i="1"/>
  <c r="E4088" i="1"/>
  <c r="F4088" i="1"/>
  <c r="G4088" i="1"/>
  <c r="H4088" i="1"/>
  <c r="I4088" i="1"/>
  <c r="C3751" i="1"/>
  <c r="D3751" i="1"/>
  <c r="E3751" i="1"/>
  <c r="F3751" i="1"/>
  <c r="G3751" i="1"/>
  <c r="H3751" i="1"/>
  <c r="I3751" i="1"/>
  <c r="C1633" i="1"/>
  <c r="D1633" i="1"/>
  <c r="E1633" i="1"/>
  <c r="F1633" i="1"/>
  <c r="G1633" i="1"/>
  <c r="H1633" i="1"/>
  <c r="I1633" i="1"/>
  <c r="C2651" i="1"/>
  <c r="D2651" i="1"/>
  <c r="E2651" i="1"/>
  <c r="F2651" i="1"/>
  <c r="G2651" i="1"/>
  <c r="H2651" i="1"/>
  <c r="I2651" i="1"/>
  <c r="C2866" i="1"/>
  <c r="D2866" i="1"/>
  <c r="E2866" i="1"/>
  <c r="F2866" i="1"/>
  <c r="G2866" i="1"/>
  <c r="H2866" i="1"/>
  <c r="I2866" i="1"/>
  <c r="C1358" i="1"/>
  <c r="D1358" i="1"/>
  <c r="E1358" i="1"/>
  <c r="F1358" i="1"/>
  <c r="G1358" i="1"/>
  <c r="H1358" i="1"/>
  <c r="I1358" i="1"/>
  <c r="C4350" i="1"/>
  <c r="D4350" i="1"/>
  <c r="E4350" i="1"/>
  <c r="F4350" i="1"/>
  <c r="G4350" i="1"/>
  <c r="H4350" i="1"/>
  <c r="I4350" i="1"/>
  <c r="C1494" i="1"/>
  <c r="D1494" i="1"/>
  <c r="E1494" i="1"/>
  <c r="F1494" i="1"/>
  <c r="G1494" i="1"/>
  <c r="H1494" i="1"/>
  <c r="I1494" i="1"/>
  <c r="C1911" i="1"/>
  <c r="D1911" i="1"/>
  <c r="E1911" i="1"/>
  <c r="F1911" i="1"/>
  <c r="G1911" i="1"/>
  <c r="H1911" i="1"/>
  <c r="I1911" i="1"/>
  <c r="C2772" i="1"/>
  <c r="D2772" i="1"/>
  <c r="E2772" i="1"/>
  <c r="F2772" i="1"/>
  <c r="G2772" i="1"/>
  <c r="H2772" i="1"/>
  <c r="I2772" i="1"/>
  <c r="C4351" i="1"/>
  <c r="D4351" i="1"/>
  <c r="E4351" i="1"/>
  <c r="F4351" i="1"/>
  <c r="G4351" i="1"/>
  <c r="H4351" i="1"/>
  <c r="I4351" i="1"/>
  <c r="C4352" i="1"/>
  <c r="D4352" i="1"/>
  <c r="E4352" i="1"/>
  <c r="F4352" i="1"/>
  <c r="G4352" i="1"/>
  <c r="H4352" i="1"/>
  <c r="I4352" i="1"/>
  <c r="C3181" i="1"/>
  <c r="D3181" i="1"/>
  <c r="E3181" i="1"/>
  <c r="F3181" i="1"/>
  <c r="G3181" i="1"/>
  <c r="H3181" i="1"/>
  <c r="I3181" i="1"/>
  <c r="C354" i="1"/>
  <c r="D354" i="1"/>
  <c r="E354" i="1"/>
  <c r="F354" i="1"/>
  <c r="G354" i="1"/>
  <c r="H354" i="1"/>
  <c r="I354" i="1"/>
  <c r="C1912" i="1"/>
  <c r="D1912" i="1"/>
  <c r="E1912" i="1"/>
  <c r="F1912" i="1"/>
  <c r="G1912" i="1"/>
  <c r="H1912" i="1"/>
  <c r="I1912" i="1"/>
  <c r="C2421" i="1"/>
  <c r="D2421" i="1"/>
  <c r="E2421" i="1"/>
  <c r="F2421" i="1"/>
  <c r="G2421" i="1"/>
  <c r="H2421" i="1"/>
  <c r="I2421" i="1"/>
  <c r="C4353" i="1"/>
  <c r="D4353" i="1"/>
  <c r="E4353" i="1"/>
  <c r="F4353" i="1"/>
  <c r="G4353" i="1"/>
  <c r="H4353" i="1"/>
  <c r="I4353" i="1"/>
  <c r="C4354" i="1"/>
  <c r="D4354" i="1"/>
  <c r="E4354" i="1"/>
  <c r="F4354" i="1"/>
  <c r="G4354" i="1"/>
  <c r="H4354" i="1"/>
  <c r="I4354" i="1"/>
  <c r="C2178" i="1"/>
  <c r="D2178" i="1"/>
  <c r="E2178" i="1"/>
  <c r="F2178" i="1"/>
  <c r="G2178" i="1"/>
  <c r="H2178" i="1"/>
  <c r="I2178" i="1"/>
  <c r="C4355" i="1"/>
  <c r="D4355" i="1"/>
  <c r="E4355" i="1"/>
  <c r="F4355" i="1"/>
  <c r="G4355" i="1"/>
  <c r="H4355" i="1"/>
  <c r="I4355" i="1"/>
  <c r="C818" i="1"/>
  <c r="D818" i="1"/>
  <c r="E818" i="1"/>
  <c r="F818" i="1"/>
  <c r="G818" i="1"/>
  <c r="H818" i="1"/>
  <c r="I818" i="1"/>
  <c r="C4178" i="1"/>
  <c r="D4178" i="1"/>
  <c r="E4178" i="1"/>
  <c r="F4178" i="1"/>
  <c r="G4178" i="1"/>
  <c r="H4178" i="1"/>
  <c r="I4178" i="1"/>
  <c r="C1378" i="1"/>
  <c r="D1378" i="1"/>
  <c r="E1378" i="1"/>
  <c r="F1378" i="1"/>
  <c r="G1378" i="1"/>
  <c r="H1378" i="1"/>
  <c r="I1378" i="1"/>
  <c r="C1261" i="1"/>
  <c r="D1261" i="1"/>
  <c r="E1261" i="1"/>
  <c r="F1261" i="1"/>
  <c r="G1261" i="1"/>
  <c r="H1261" i="1"/>
  <c r="I1261" i="1"/>
  <c r="C2652" i="1"/>
  <c r="D2652" i="1"/>
  <c r="E2652" i="1"/>
  <c r="F2652" i="1"/>
  <c r="G2652" i="1"/>
  <c r="H2652" i="1"/>
  <c r="I2652" i="1"/>
  <c r="C743" i="1"/>
  <c r="D743" i="1"/>
  <c r="E743" i="1"/>
  <c r="F743" i="1"/>
  <c r="G743" i="1"/>
  <c r="H743" i="1"/>
  <c r="I743" i="1"/>
  <c r="C744" i="1"/>
  <c r="D744" i="1"/>
  <c r="E744" i="1"/>
  <c r="F744" i="1"/>
  <c r="G744" i="1"/>
  <c r="H744" i="1"/>
  <c r="I744" i="1"/>
  <c r="C3189" i="1"/>
  <c r="D3189" i="1"/>
  <c r="E3189" i="1"/>
  <c r="F3189" i="1"/>
  <c r="G3189" i="1"/>
  <c r="H3189" i="1"/>
  <c r="I3189" i="1"/>
  <c r="C4356" i="1"/>
  <c r="D4356" i="1"/>
  <c r="E4356" i="1"/>
  <c r="F4356" i="1"/>
  <c r="G4356" i="1"/>
  <c r="H4356" i="1"/>
  <c r="I4356" i="1"/>
  <c r="C4357" i="1"/>
  <c r="D4357" i="1"/>
  <c r="E4357" i="1"/>
  <c r="F4357" i="1"/>
  <c r="G4357" i="1"/>
  <c r="H4357" i="1"/>
  <c r="I4357" i="1"/>
  <c r="C230" i="1"/>
  <c r="D230" i="1"/>
  <c r="E230" i="1"/>
  <c r="F230" i="1"/>
  <c r="G230" i="1"/>
  <c r="H230" i="1"/>
  <c r="I230" i="1"/>
  <c r="C1634" i="1"/>
  <c r="D1634" i="1"/>
  <c r="E1634" i="1"/>
  <c r="F1634" i="1"/>
  <c r="G1634" i="1"/>
  <c r="H1634" i="1"/>
  <c r="I1634" i="1"/>
  <c r="C308" i="1"/>
  <c r="D308" i="1"/>
  <c r="E308" i="1"/>
  <c r="F308" i="1"/>
  <c r="G308" i="1"/>
  <c r="H308" i="1"/>
  <c r="I308" i="1"/>
  <c r="C511" i="1"/>
  <c r="D511" i="1"/>
  <c r="E511" i="1"/>
  <c r="F511" i="1"/>
  <c r="G511" i="1"/>
  <c r="H511" i="1"/>
  <c r="I511" i="1"/>
  <c r="C1788" i="1"/>
  <c r="D1788" i="1"/>
  <c r="E1788" i="1"/>
  <c r="F1788" i="1"/>
  <c r="G1788" i="1"/>
  <c r="H1788" i="1"/>
  <c r="I1788" i="1"/>
  <c r="C3462" i="1"/>
  <c r="D3462" i="1"/>
  <c r="E3462" i="1"/>
  <c r="F3462" i="1"/>
  <c r="G3462" i="1"/>
  <c r="H3462" i="1"/>
  <c r="I3462" i="1"/>
  <c r="C1082" i="1"/>
  <c r="D1082" i="1"/>
  <c r="E1082" i="1"/>
  <c r="F1082" i="1"/>
  <c r="G1082" i="1"/>
  <c r="H1082" i="1"/>
  <c r="I1082" i="1"/>
  <c r="C1635" i="1"/>
  <c r="D1635" i="1"/>
  <c r="E1635" i="1"/>
  <c r="F1635" i="1"/>
  <c r="G1635" i="1"/>
  <c r="H1635" i="1"/>
  <c r="I1635" i="1"/>
  <c r="C4239" i="1"/>
  <c r="D4239" i="1"/>
  <c r="E4239" i="1"/>
  <c r="F4239" i="1"/>
  <c r="G4239" i="1"/>
  <c r="H4239" i="1"/>
  <c r="I4239" i="1"/>
  <c r="C4237" i="1"/>
  <c r="D4237" i="1"/>
  <c r="E4237" i="1"/>
  <c r="F4237" i="1"/>
  <c r="G4237" i="1"/>
  <c r="H4237" i="1"/>
  <c r="I4237" i="1"/>
  <c r="C3797" i="1"/>
  <c r="D3797" i="1"/>
  <c r="E3797" i="1"/>
  <c r="F3797" i="1"/>
  <c r="G3797" i="1"/>
  <c r="H3797" i="1"/>
  <c r="I3797" i="1"/>
  <c r="C3963" i="1"/>
  <c r="D3963" i="1"/>
  <c r="E3963" i="1"/>
  <c r="F3963" i="1"/>
  <c r="G3963" i="1"/>
  <c r="H3963" i="1"/>
  <c r="I3963" i="1"/>
  <c r="C3851" i="1"/>
  <c r="D3851" i="1"/>
  <c r="E3851" i="1"/>
  <c r="F3851" i="1"/>
  <c r="G3851" i="1"/>
  <c r="H3851" i="1"/>
  <c r="I3851" i="1"/>
  <c r="C4358" i="1"/>
  <c r="D4358" i="1"/>
  <c r="E4358" i="1"/>
  <c r="F4358" i="1"/>
  <c r="G4358" i="1"/>
  <c r="H4358" i="1"/>
  <c r="I4358" i="1"/>
  <c r="C4058" i="1"/>
  <c r="D4058" i="1"/>
  <c r="E4058" i="1"/>
  <c r="F4058" i="1"/>
  <c r="G4058" i="1"/>
  <c r="H4058" i="1"/>
  <c r="I4058" i="1"/>
  <c r="C1636" i="1"/>
  <c r="D1636" i="1"/>
  <c r="E1636" i="1"/>
  <c r="F1636" i="1"/>
  <c r="G1636" i="1"/>
  <c r="H1636" i="1"/>
  <c r="I1636" i="1"/>
  <c r="C1789" i="1"/>
  <c r="D1789" i="1"/>
  <c r="E1789" i="1"/>
  <c r="F1789" i="1"/>
  <c r="G1789" i="1"/>
  <c r="H1789" i="1"/>
  <c r="I1789" i="1"/>
  <c r="C2947" i="1"/>
  <c r="D2947" i="1"/>
  <c r="E2947" i="1"/>
  <c r="F2947" i="1"/>
  <c r="G2947" i="1"/>
  <c r="H2947" i="1"/>
  <c r="I2947" i="1"/>
  <c r="C638" i="1"/>
  <c r="D638" i="1"/>
  <c r="E638" i="1"/>
  <c r="F638" i="1"/>
  <c r="G638" i="1"/>
  <c r="H638" i="1"/>
  <c r="I638" i="1"/>
  <c r="C1083" i="1"/>
  <c r="D1083" i="1"/>
  <c r="E1083" i="1"/>
  <c r="F1083" i="1"/>
  <c r="G1083" i="1"/>
  <c r="H1083" i="1"/>
  <c r="I1083" i="1"/>
  <c r="C639" i="1"/>
  <c r="D639" i="1"/>
  <c r="E639" i="1"/>
  <c r="F639" i="1"/>
  <c r="G639" i="1"/>
  <c r="H639" i="1"/>
  <c r="I639" i="1"/>
  <c r="C1495" i="1"/>
  <c r="D1495" i="1"/>
  <c r="E1495" i="1"/>
  <c r="F1495" i="1"/>
  <c r="G1495" i="1"/>
  <c r="H1495" i="1"/>
  <c r="I1495" i="1"/>
  <c r="C2773" i="1"/>
  <c r="D2773" i="1"/>
  <c r="E2773" i="1"/>
  <c r="F2773" i="1"/>
  <c r="G2773" i="1"/>
  <c r="H2773" i="1"/>
  <c r="I2773" i="1"/>
  <c r="C1221" i="1"/>
  <c r="D1221" i="1"/>
  <c r="E1221" i="1"/>
  <c r="F1221" i="1"/>
  <c r="G1221" i="1"/>
  <c r="H1221" i="1"/>
  <c r="I1221" i="1"/>
  <c r="C2653" i="1"/>
  <c r="D2653" i="1"/>
  <c r="E2653" i="1"/>
  <c r="F2653" i="1"/>
  <c r="G2653" i="1"/>
  <c r="H2653" i="1"/>
  <c r="I2653" i="1"/>
  <c r="C988" i="1"/>
  <c r="D988" i="1"/>
  <c r="E988" i="1"/>
  <c r="F988" i="1"/>
  <c r="G988" i="1"/>
  <c r="H988" i="1"/>
  <c r="I988" i="1"/>
  <c r="C4107" i="1"/>
  <c r="D4107" i="1"/>
  <c r="E4107" i="1"/>
  <c r="F4107" i="1"/>
  <c r="G4107" i="1"/>
  <c r="H4107" i="1"/>
  <c r="I4107" i="1"/>
  <c r="C4359" i="1"/>
  <c r="D4359" i="1"/>
  <c r="E4359" i="1"/>
  <c r="F4359" i="1"/>
  <c r="G4359" i="1"/>
  <c r="H4359" i="1"/>
  <c r="I4359" i="1"/>
  <c r="C4360" i="1"/>
  <c r="D4360" i="1"/>
  <c r="E4360" i="1"/>
  <c r="F4360" i="1"/>
  <c r="G4360" i="1"/>
  <c r="H4360" i="1"/>
  <c r="I4360" i="1"/>
  <c r="C4361" i="1"/>
  <c r="D4361" i="1"/>
  <c r="E4361" i="1"/>
  <c r="F4361" i="1"/>
  <c r="G4361" i="1"/>
  <c r="H4361" i="1"/>
  <c r="I4361" i="1"/>
  <c r="C4362" i="1"/>
  <c r="D4362" i="1"/>
  <c r="E4362" i="1"/>
  <c r="F4362" i="1"/>
  <c r="G4362" i="1"/>
  <c r="H4362" i="1"/>
  <c r="I4362" i="1"/>
  <c r="C819" i="1"/>
  <c r="D819" i="1"/>
  <c r="E819" i="1"/>
  <c r="F819" i="1"/>
  <c r="G819" i="1"/>
  <c r="H819" i="1"/>
  <c r="I819" i="1"/>
  <c r="C942" i="1"/>
  <c r="D942" i="1"/>
  <c r="E942" i="1"/>
  <c r="F942" i="1"/>
  <c r="G942" i="1"/>
  <c r="H942" i="1"/>
  <c r="I942" i="1"/>
  <c r="C943" i="1"/>
  <c r="D943" i="1"/>
  <c r="E943" i="1"/>
  <c r="F943" i="1"/>
  <c r="G943" i="1"/>
  <c r="H943" i="1"/>
  <c r="I943" i="1"/>
  <c r="C3471" i="1"/>
  <c r="D3471" i="1"/>
  <c r="E3471" i="1"/>
  <c r="F3471" i="1"/>
  <c r="G3471" i="1"/>
  <c r="H3471" i="1"/>
  <c r="I3471" i="1"/>
  <c r="C1084" i="1"/>
  <c r="D1084" i="1"/>
  <c r="E1084" i="1"/>
  <c r="F1084" i="1"/>
  <c r="G1084" i="1"/>
  <c r="H1084" i="1"/>
  <c r="I1084" i="1"/>
  <c r="C1100" i="1"/>
  <c r="D1100" i="1"/>
  <c r="E1100" i="1"/>
  <c r="F1100" i="1"/>
  <c r="G1100" i="1"/>
  <c r="H1100" i="1"/>
  <c r="I1100" i="1"/>
  <c r="C1104" i="1"/>
  <c r="D1104" i="1"/>
  <c r="E1104" i="1"/>
  <c r="F1104" i="1"/>
  <c r="G1104" i="1"/>
  <c r="H1104" i="1"/>
  <c r="I1104" i="1"/>
  <c r="C1222" i="1"/>
  <c r="D1222" i="1"/>
  <c r="E1222" i="1"/>
  <c r="F1222" i="1"/>
  <c r="G1222" i="1"/>
  <c r="H1222" i="1"/>
  <c r="I1222" i="1"/>
  <c r="C1252" i="1"/>
  <c r="D1252" i="1"/>
  <c r="E1252" i="1"/>
  <c r="F1252" i="1"/>
  <c r="G1252" i="1"/>
  <c r="H1252" i="1"/>
  <c r="I1252" i="1"/>
  <c r="C1256" i="1"/>
  <c r="D1256" i="1"/>
  <c r="E1256" i="1"/>
  <c r="F1256" i="1"/>
  <c r="G1256" i="1"/>
  <c r="H1256" i="1"/>
  <c r="I1256" i="1"/>
  <c r="C1386" i="1"/>
  <c r="D1386" i="1"/>
  <c r="E1386" i="1"/>
  <c r="F1386" i="1"/>
  <c r="G1386" i="1"/>
  <c r="H1386" i="1"/>
  <c r="I1386" i="1"/>
  <c r="C1637" i="1"/>
  <c r="D1637" i="1"/>
  <c r="E1637" i="1"/>
  <c r="F1637" i="1"/>
  <c r="G1637" i="1"/>
  <c r="H1637" i="1"/>
  <c r="I1637" i="1"/>
  <c r="C1942" i="1"/>
  <c r="D1942" i="1"/>
  <c r="E1942" i="1"/>
  <c r="F1942" i="1"/>
  <c r="G1942" i="1"/>
  <c r="H1942" i="1"/>
  <c r="I1942" i="1"/>
  <c r="C1941" i="1"/>
  <c r="D1941" i="1"/>
  <c r="E1941" i="1"/>
  <c r="F1941" i="1"/>
  <c r="G1941" i="1"/>
  <c r="H1941" i="1"/>
  <c r="I1941" i="1"/>
  <c r="C1940" i="1"/>
  <c r="D1940" i="1"/>
  <c r="E1940" i="1"/>
  <c r="F1940" i="1"/>
  <c r="G1940" i="1"/>
  <c r="H1940" i="1"/>
  <c r="I1940" i="1"/>
  <c r="C2069" i="1"/>
  <c r="D2069" i="1"/>
  <c r="E2069" i="1"/>
  <c r="F2069" i="1"/>
  <c r="G2069" i="1"/>
  <c r="H2069" i="1"/>
  <c r="I2069" i="1"/>
  <c r="C2073" i="1"/>
  <c r="D2073" i="1"/>
  <c r="E2073" i="1"/>
  <c r="F2073" i="1"/>
  <c r="G2073" i="1"/>
  <c r="H2073" i="1"/>
  <c r="I2073" i="1"/>
  <c r="C2068" i="1"/>
  <c r="D2068" i="1"/>
  <c r="E2068" i="1"/>
  <c r="F2068" i="1"/>
  <c r="G2068" i="1"/>
  <c r="H2068" i="1"/>
  <c r="I2068" i="1"/>
  <c r="C2076" i="1"/>
  <c r="D2076" i="1"/>
  <c r="E2076" i="1"/>
  <c r="F2076" i="1"/>
  <c r="G2076" i="1"/>
  <c r="H2076" i="1"/>
  <c r="I2076" i="1"/>
  <c r="C2163" i="1"/>
  <c r="D2163" i="1"/>
  <c r="E2163" i="1"/>
  <c r="F2163" i="1"/>
  <c r="G2163" i="1"/>
  <c r="H2163" i="1"/>
  <c r="I2163" i="1"/>
  <c r="C3697" i="1"/>
  <c r="D3697" i="1"/>
  <c r="E3697" i="1"/>
  <c r="F3697" i="1"/>
  <c r="G3697" i="1"/>
  <c r="H3697" i="1"/>
  <c r="I3697" i="1"/>
  <c r="C2977" i="1"/>
  <c r="D2977" i="1"/>
  <c r="E2977" i="1"/>
  <c r="F2977" i="1"/>
  <c r="G2977" i="1"/>
  <c r="H2977" i="1"/>
  <c r="I2977" i="1"/>
  <c r="C2206" i="1"/>
  <c r="D2206" i="1"/>
  <c r="E2206" i="1"/>
  <c r="F2206" i="1"/>
  <c r="G2206" i="1"/>
  <c r="H2206" i="1"/>
  <c r="I2206" i="1"/>
  <c r="C2203" i="1"/>
  <c r="D2203" i="1"/>
  <c r="E2203" i="1"/>
  <c r="F2203" i="1"/>
  <c r="G2203" i="1"/>
  <c r="H2203" i="1"/>
  <c r="I2203" i="1"/>
  <c r="C2199" i="1"/>
  <c r="D2199" i="1"/>
  <c r="E2199" i="1"/>
  <c r="F2199" i="1"/>
  <c r="G2199" i="1"/>
  <c r="H2199" i="1"/>
  <c r="I2199" i="1"/>
  <c r="C2196" i="1"/>
  <c r="D2196" i="1"/>
  <c r="E2196" i="1"/>
  <c r="F2196" i="1"/>
  <c r="G2196" i="1"/>
  <c r="H2196" i="1"/>
  <c r="I2196" i="1"/>
  <c r="C2192" i="1"/>
  <c r="D2192" i="1"/>
  <c r="E2192" i="1"/>
  <c r="F2192" i="1"/>
  <c r="G2192" i="1"/>
  <c r="H2192" i="1"/>
  <c r="I2192" i="1"/>
  <c r="C2190" i="1"/>
  <c r="D2190" i="1"/>
  <c r="E2190" i="1"/>
  <c r="F2190" i="1"/>
  <c r="G2190" i="1"/>
  <c r="H2190" i="1"/>
  <c r="I2190" i="1"/>
  <c r="C2210" i="1"/>
  <c r="D2210" i="1"/>
  <c r="E2210" i="1"/>
  <c r="F2210" i="1"/>
  <c r="G2210" i="1"/>
  <c r="H2210" i="1"/>
  <c r="I2210" i="1"/>
  <c r="C2205" i="1"/>
  <c r="D2205" i="1"/>
  <c r="E2205" i="1"/>
  <c r="F2205" i="1"/>
  <c r="G2205" i="1"/>
  <c r="H2205" i="1"/>
  <c r="I2205" i="1"/>
  <c r="C2197" i="1"/>
  <c r="D2197" i="1"/>
  <c r="E2197" i="1"/>
  <c r="F2197" i="1"/>
  <c r="G2197" i="1"/>
  <c r="H2197" i="1"/>
  <c r="I2197" i="1"/>
  <c r="C2303" i="1"/>
  <c r="D2303" i="1"/>
  <c r="E2303" i="1"/>
  <c r="F2303" i="1"/>
  <c r="G2303" i="1"/>
  <c r="H2303" i="1"/>
  <c r="I2303" i="1"/>
  <c r="C2422" i="1"/>
  <c r="D2422" i="1"/>
  <c r="E2422" i="1"/>
  <c r="F2422" i="1"/>
  <c r="G2422" i="1"/>
  <c r="H2422" i="1"/>
  <c r="I2422" i="1"/>
  <c r="C4278" i="1"/>
  <c r="D4278" i="1"/>
  <c r="E4278" i="1"/>
  <c r="F4278" i="1"/>
  <c r="G4278" i="1"/>
  <c r="H4278" i="1"/>
  <c r="I4278" i="1"/>
  <c r="C3115" i="1"/>
  <c r="D3115" i="1"/>
  <c r="E3115" i="1"/>
  <c r="F3115" i="1"/>
  <c r="G3115" i="1"/>
  <c r="H3115" i="1"/>
  <c r="I3115" i="1"/>
  <c r="C3182" i="1"/>
  <c r="D3182" i="1"/>
  <c r="E3182" i="1"/>
  <c r="F3182" i="1"/>
  <c r="G3182" i="1"/>
  <c r="H3182" i="1"/>
  <c r="I3182" i="1"/>
  <c r="C3253" i="1"/>
  <c r="D3253" i="1"/>
  <c r="E3253" i="1"/>
  <c r="F3253" i="1"/>
  <c r="G3253" i="1"/>
  <c r="H3253" i="1"/>
  <c r="I3253" i="1"/>
  <c r="C3463" i="1"/>
  <c r="D3463" i="1"/>
  <c r="E3463" i="1"/>
  <c r="F3463" i="1"/>
  <c r="G3463" i="1"/>
  <c r="H3463" i="1"/>
  <c r="I3463" i="1"/>
  <c r="C3254" i="1"/>
  <c r="D3254" i="1"/>
  <c r="E3254" i="1"/>
  <c r="F3254" i="1"/>
  <c r="G3254" i="1"/>
  <c r="H3254" i="1"/>
  <c r="I3254" i="1"/>
  <c r="C231" i="1"/>
  <c r="D231" i="1"/>
  <c r="E231" i="1"/>
  <c r="F231" i="1"/>
  <c r="G231" i="1"/>
  <c r="H231" i="1"/>
  <c r="I231" i="1"/>
  <c r="C4363" i="1"/>
  <c r="D4363" i="1"/>
  <c r="E4363" i="1"/>
  <c r="F4363" i="1"/>
  <c r="G4363" i="1"/>
  <c r="H4363" i="1"/>
  <c r="I4363" i="1"/>
  <c r="C4270" i="1"/>
  <c r="D4270" i="1"/>
  <c r="E4270" i="1"/>
  <c r="F4270" i="1"/>
  <c r="G4270" i="1"/>
  <c r="H4270" i="1"/>
  <c r="I4270" i="1"/>
  <c r="C4269" i="1"/>
  <c r="D4269" i="1"/>
  <c r="E4269" i="1"/>
  <c r="F4269" i="1"/>
  <c r="G4269" i="1"/>
  <c r="H4269" i="1"/>
  <c r="I4269" i="1"/>
  <c r="C4059" i="1"/>
  <c r="D4059" i="1"/>
  <c r="E4059" i="1"/>
  <c r="F4059" i="1"/>
  <c r="G4059" i="1"/>
  <c r="H4059" i="1"/>
  <c r="I4059" i="1"/>
  <c r="C4267" i="1"/>
  <c r="D4267" i="1"/>
  <c r="E4267" i="1"/>
  <c r="F4267" i="1"/>
  <c r="G4267" i="1"/>
  <c r="H4267" i="1"/>
  <c r="I4267" i="1"/>
  <c r="C4364" i="1"/>
  <c r="D4364" i="1"/>
  <c r="E4364" i="1"/>
  <c r="F4364" i="1"/>
  <c r="G4364" i="1"/>
  <c r="H4364" i="1"/>
  <c r="I4364" i="1"/>
  <c r="C4265" i="1"/>
  <c r="D4265" i="1"/>
  <c r="E4265" i="1"/>
  <c r="F4265" i="1"/>
  <c r="G4265" i="1"/>
  <c r="H4265" i="1"/>
  <c r="I4265" i="1"/>
  <c r="C4264" i="1"/>
  <c r="D4264" i="1"/>
  <c r="E4264" i="1"/>
  <c r="F4264" i="1"/>
  <c r="G4264" i="1"/>
  <c r="H4264" i="1"/>
  <c r="I4264" i="1"/>
  <c r="C4365" i="1"/>
  <c r="D4365" i="1"/>
  <c r="E4365" i="1"/>
  <c r="F4365" i="1"/>
  <c r="G4365" i="1"/>
  <c r="H4365" i="1"/>
  <c r="I4365" i="1"/>
  <c r="C2774" i="1"/>
  <c r="D2774" i="1"/>
  <c r="E2774" i="1"/>
  <c r="F2774" i="1"/>
  <c r="G2774" i="1"/>
  <c r="H2774" i="1"/>
  <c r="I2774" i="1"/>
  <c r="C4261" i="1"/>
  <c r="D4261" i="1"/>
  <c r="E4261" i="1"/>
  <c r="F4261" i="1"/>
  <c r="G4261" i="1"/>
  <c r="H4261" i="1"/>
  <c r="I4261" i="1"/>
  <c r="C4260" i="1"/>
  <c r="D4260" i="1"/>
  <c r="E4260" i="1"/>
  <c r="F4260" i="1"/>
  <c r="G4260" i="1"/>
  <c r="H4260" i="1"/>
  <c r="I4260" i="1"/>
  <c r="C355" i="1"/>
  <c r="D355" i="1"/>
  <c r="E355" i="1"/>
  <c r="F355" i="1"/>
  <c r="G355" i="1"/>
  <c r="H355" i="1"/>
  <c r="I355" i="1"/>
  <c r="C568" i="1"/>
  <c r="D568" i="1"/>
  <c r="E568" i="1"/>
  <c r="F568" i="1"/>
  <c r="G568" i="1"/>
  <c r="H568" i="1"/>
  <c r="I568" i="1"/>
  <c r="C760" i="1"/>
  <c r="D760" i="1"/>
  <c r="E760" i="1"/>
  <c r="F760" i="1"/>
  <c r="G760" i="1"/>
  <c r="H760" i="1"/>
  <c r="I760" i="1"/>
  <c r="C835" i="1"/>
  <c r="D835" i="1"/>
  <c r="E835" i="1"/>
  <c r="F835" i="1"/>
  <c r="G835" i="1"/>
  <c r="H835" i="1"/>
  <c r="I835" i="1"/>
  <c r="C977" i="1"/>
  <c r="D977" i="1"/>
  <c r="E977" i="1"/>
  <c r="F977" i="1"/>
  <c r="G977" i="1"/>
  <c r="H977" i="1"/>
  <c r="I977" i="1"/>
  <c r="C983" i="1"/>
  <c r="D983" i="1"/>
  <c r="E983" i="1"/>
  <c r="F983" i="1"/>
  <c r="G983" i="1"/>
  <c r="H983" i="1"/>
  <c r="I983" i="1"/>
  <c r="C978" i="1"/>
  <c r="D978" i="1"/>
  <c r="E978" i="1"/>
  <c r="F978" i="1"/>
  <c r="G978" i="1"/>
  <c r="H978" i="1"/>
  <c r="I978" i="1"/>
  <c r="C976" i="1"/>
  <c r="D976" i="1"/>
  <c r="E976" i="1"/>
  <c r="F976" i="1"/>
  <c r="G976" i="1"/>
  <c r="H976" i="1"/>
  <c r="I976" i="1"/>
  <c r="C1102" i="1"/>
  <c r="D1102" i="1"/>
  <c r="E1102" i="1"/>
  <c r="F1102" i="1"/>
  <c r="G1102" i="1"/>
  <c r="H1102" i="1"/>
  <c r="I1102" i="1"/>
  <c r="C1107" i="1"/>
  <c r="D1107" i="1"/>
  <c r="E1107" i="1"/>
  <c r="F1107" i="1"/>
  <c r="G1107" i="1"/>
  <c r="H1107" i="1"/>
  <c r="I1107" i="1"/>
  <c r="C1110" i="1"/>
  <c r="D1110" i="1"/>
  <c r="E1110" i="1"/>
  <c r="F1110" i="1"/>
  <c r="G1110" i="1"/>
  <c r="H1110" i="1"/>
  <c r="I1110" i="1"/>
  <c r="C1253" i="1"/>
  <c r="D1253" i="1"/>
  <c r="E1253" i="1"/>
  <c r="F1253" i="1"/>
  <c r="G1253" i="1"/>
  <c r="H1253" i="1"/>
  <c r="I1253" i="1"/>
  <c r="C1248" i="1"/>
  <c r="D1248" i="1"/>
  <c r="E1248" i="1"/>
  <c r="F1248" i="1"/>
  <c r="G1248" i="1"/>
  <c r="H1248" i="1"/>
  <c r="I1248" i="1"/>
  <c r="C1376" i="1"/>
  <c r="D1376" i="1"/>
  <c r="E1376" i="1"/>
  <c r="F1376" i="1"/>
  <c r="G1376" i="1"/>
  <c r="H1376" i="1"/>
  <c r="I1376" i="1"/>
  <c r="C1638" i="1"/>
  <c r="D1638" i="1"/>
  <c r="E1638" i="1"/>
  <c r="F1638" i="1"/>
  <c r="G1638" i="1"/>
  <c r="H1638" i="1"/>
  <c r="I1638" i="1"/>
  <c r="C1790" i="1"/>
  <c r="D1790" i="1"/>
  <c r="E1790" i="1"/>
  <c r="F1790" i="1"/>
  <c r="G1790" i="1"/>
  <c r="H1790" i="1"/>
  <c r="I1790" i="1"/>
  <c r="C2209" i="1"/>
  <c r="D2209" i="1"/>
  <c r="E2209" i="1"/>
  <c r="F2209" i="1"/>
  <c r="G2209" i="1"/>
  <c r="H2209" i="1"/>
  <c r="I2209" i="1"/>
  <c r="C2164" i="1"/>
  <c r="D2164" i="1"/>
  <c r="E2164" i="1"/>
  <c r="F2164" i="1"/>
  <c r="G2164" i="1"/>
  <c r="H2164" i="1"/>
  <c r="I2164" i="1"/>
  <c r="C2689" i="1"/>
  <c r="D2689" i="1"/>
  <c r="E2689" i="1"/>
  <c r="F2689" i="1"/>
  <c r="G2689" i="1"/>
  <c r="H2689" i="1"/>
  <c r="I2689" i="1"/>
  <c r="C2992" i="1"/>
  <c r="D2992" i="1"/>
  <c r="E2992" i="1"/>
  <c r="F2992" i="1"/>
  <c r="G2992" i="1"/>
  <c r="H2992" i="1"/>
  <c r="I2992" i="1"/>
  <c r="C4153" i="1"/>
  <c r="D4153" i="1"/>
  <c r="E4153" i="1"/>
  <c r="F4153" i="1"/>
  <c r="G4153" i="1"/>
  <c r="H4153" i="1"/>
  <c r="I4153" i="1"/>
  <c r="C3852" i="1"/>
  <c r="D3852" i="1"/>
  <c r="E3852" i="1"/>
  <c r="F3852" i="1"/>
  <c r="G3852" i="1"/>
  <c r="H3852" i="1"/>
  <c r="I3852" i="1"/>
  <c r="C4366" i="1"/>
  <c r="D4366" i="1"/>
  <c r="E4366" i="1"/>
  <c r="F4366" i="1"/>
  <c r="G4366" i="1"/>
  <c r="H4366" i="1"/>
  <c r="I4366" i="1"/>
  <c r="C3541" i="1"/>
  <c r="D3541" i="1"/>
  <c r="E3541" i="1"/>
  <c r="F3541" i="1"/>
  <c r="G3541" i="1"/>
  <c r="H3541" i="1"/>
  <c r="I3541" i="1"/>
  <c r="C3408" i="1"/>
  <c r="D3408" i="1"/>
  <c r="E3408" i="1"/>
  <c r="F3408" i="1"/>
  <c r="G3408" i="1"/>
  <c r="H3408" i="1"/>
  <c r="I3408" i="1"/>
  <c r="C944" i="1"/>
  <c r="D944" i="1"/>
  <c r="E944" i="1"/>
  <c r="F944" i="1"/>
  <c r="G944" i="1"/>
  <c r="H944" i="1"/>
  <c r="I944" i="1"/>
  <c r="C3759" i="1"/>
  <c r="D3759" i="1"/>
  <c r="E3759" i="1"/>
  <c r="F3759" i="1"/>
  <c r="G3759" i="1"/>
  <c r="H3759" i="1"/>
  <c r="I3759" i="1"/>
  <c r="C3905" i="1"/>
  <c r="D3905" i="1"/>
  <c r="E3905" i="1"/>
  <c r="F3905" i="1"/>
  <c r="G3905" i="1"/>
  <c r="H3905" i="1"/>
  <c r="I3905" i="1"/>
  <c r="C4163" i="1"/>
  <c r="D4163" i="1"/>
  <c r="E4163" i="1"/>
  <c r="F4163" i="1"/>
  <c r="G4163" i="1"/>
  <c r="H4163" i="1"/>
  <c r="I4163" i="1"/>
  <c r="C4367" i="1"/>
  <c r="D4367" i="1"/>
  <c r="E4367" i="1"/>
  <c r="F4367" i="1"/>
  <c r="G4367" i="1"/>
  <c r="H4367" i="1"/>
  <c r="I4367" i="1"/>
  <c r="C2565" i="1"/>
  <c r="D2565" i="1"/>
  <c r="E2565" i="1"/>
  <c r="F2565" i="1"/>
  <c r="G2565" i="1"/>
  <c r="H2565" i="1"/>
  <c r="I2565" i="1"/>
  <c r="C4368" i="1"/>
  <c r="D4368" i="1"/>
  <c r="E4368" i="1"/>
  <c r="F4368" i="1"/>
  <c r="G4368" i="1"/>
  <c r="H4368" i="1"/>
  <c r="I4368" i="1"/>
  <c r="C2948" i="1"/>
  <c r="D2948" i="1"/>
  <c r="E2948" i="1"/>
  <c r="F2948" i="1"/>
  <c r="G2948" i="1"/>
  <c r="H2948" i="1"/>
  <c r="I2948" i="1"/>
  <c r="C2165" i="1"/>
  <c r="D2165" i="1"/>
  <c r="E2165" i="1"/>
  <c r="F2165" i="1"/>
  <c r="G2165" i="1"/>
  <c r="H2165" i="1"/>
  <c r="I2165" i="1"/>
  <c r="C4369" i="1"/>
  <c r="D4369" i="1"/>
  <c r="E4369" i="1"/>
  <c r="F4369" i="1"/>
  <c r="G4369" i="1"/>
  <c r="H4369" i="1"/>
  <c r="I4369" i="1"/>
  <c r="C2044" i="1"/>
  <c r="D2044" i="1"/>
  <c r="E2044" i="1"/>
  <c r="F2044" i="1"/>
  <c r="G2044" i="1"/>
  <c r="H2044" i="1"/>
  <c r="I2044" i="1"/>
  <c r="C4370" i="1"/>
  <c r="D4370" i="1"/>
  <c r="E4370" i="1"/>
  <c r="F4370" i="1"/>
  <c r="G4370" i="1"/>
  <c r="H4370" i="1"/>
  <c r="I4370" i="1"/>
  <c r="C1913" i="1"/>
  <c r="D1913" i="1"/>
  <c r="E1913" i="1"/>
  <c r="F1913" i="1"/>
  <c r="G1913" i="1"/>
  <c r="H1913" i="1"/>
  <c r="I1913" i="1"/>
  <c r="C3068" i="1"/>
  <c r="D3068" i="1"/>
  <c r="E3068" i="1"/>
  <c r="F3068" i="1"/>
  <c r="G3068" i="1"/>
  <c r="H3068" i="1"/>
  <c r="I3068" i="1"/>
  <c r="C2687" i="1"/>
  <c r="D2687" i="1"/>
  <c r="E2687" i="1"/>
  <c r="F2687" i="1"/>
  <c r="G2687" i="1"/>
  <c r="H2687" i="1"/>
  <c r="I2687" i="1"/>
  <c r="C4371" i="1"/>
  <c r="D4371" i="1"/>
  <c r="E4371" i="1"/>
  <c r="F4371" i="1"/>
  <c r="G4371" i="1"/>
  <c r="H4371" i="1"/>
  <c r="I4371" i="1"/>
  <c r="C4372" i="1"/>
  <c r="D4372" i="1"/>
  <c r="E4372" i="1"/>
  <c r="F4372" i="1"/>
  <c r="G4372" i="1"/>
  <c r="H4372" i="1"/>
  <c r="I4372" i="1"/>
  <c r="C459" i="1"/>
  <c r="D459" i="1"/>
  <c r="E459" i="1"/>
  <c r="F459" i="1"/>
  <c r="G459" i="1"/>
  <c r="H459" i="1"/>
  <c r="I459" i="1"/>
  <c r="C453" i="1"/>
  <c r="D453" i="1"/>
  <c r="E453" i="1"/>
  <c r="F453" i="1"/>
  <c r="G453" i="1"/>
  <c r="H453" i="1"/>
  <c r="I453" i="1"/>
  <c r="C512" i="1"/>
  <c r="D512" i="1"/>
  <c r="E512" i="1"/>
  <c r="F512" i="1"/>
  <c r="G512" i="1"/>
  <c r="H512" i="1"/>
  <c r="I512" i="1"/>
  <c r="C640" i="1"/>
  <c r="D640" i="1"/>
  <c r="E640" i="1"/>
  <c r="F640" i="1"/>
  <c r="G640" i="1"/>
  <c r="H640" i="1"/>
  <c r="I640" i="1"/>
  <c r="C695" i="1"/>
  <c r="D695" i="1"/>
  <c r="E695" i="1"/>
  <c r="F695" i="1"/>
  <c r="G695" i="1"/>
  <c r="H695" i="1"/>
  <c r="I695" i="1"/>
  <c r="C745" i="1"/>
  <c r="D745" i="1"/>
  <c r="E745" i="1"/>
  <c r="F745" i="1"/>
  <c r="G745" i="1"/>
  <c r="H745" i="1"/>
  <c r="I745" i="1"/>
  <c r="C820" i="1"/>
  <c r="D820" i="1"/>
  <c r="E820" i="1"/>
  <c r="F820" i="1"/>
  <c r="G820" i="1"/>
  <c r="H820" i="1"/>
  <c r="I820" i="1"/>
  <c r="C821" i="1"/>
  <c r="D821" i="1"/>
  <c r="E821" i="1"/>
  <c r="F821" i="1"/>
  <c r="G821" i="1"/>
  <c r="H821" i="1"/>
  <c r="I821" i="1"/>
  <c r="C945" i="1"/>
  <c r="D945" i="1"/>
  <c r="E945" i="1"/>
  <c r="F945" i="1"/>
  <c r="G945" i="1"/>
  <c r="H945" i="1"/>
  <c r="I945" i="1"/>
  <c r="C946" i="1"/>
  <c r="D946" i="1"/>
  <c r="E946" i="1"/>
  <c r="F946" i="1"/>
  <c r="G946" i="1"/>
  <c r="H946" i="1"/>
  <c r="I946" i="1"/>
  <c r="C947" i="1"/>
  <c r="D947" i="1"/>
  <c r="E947" i="1"/>
  <c r="F947" i="1"/>
  <c r="G947" i="1"/>
  <c r="H947" i="1"/>
  <c r="I947" i="1"/>
  <c r="C1503" i="1"/>
  <c r="D1503" i="1"/>
  <c r="E1503" i="1"/>
  <c r="F1503" i="1"/>
  <c r="G1503" i="1"/>
  <c r="H1503" i="1"/>
  <c r="I1503" i="1"/>
  <c r="C1085" i="1"/>
  <c r="D1085" i="1"/>
  <c r="E1085" i="1"/>
  <c r="F1085" i="1"/>
  <c r="G1085" i="1"/>
  <c r="H1085" i="1"/>
  <c r="I1085" i="1"/>
  <c r="C1086" i="1"/>
  <c r="D1086" i="1"/>
  <c r="E1086" i="1"/>
  <c r="F1086" i="1"/>
  <c r="G1086" i="1"/>
  <c r="H1086" i="1"/>
  <c r="I1086" i="1"/>
  <c r="C1087" i="1"/>
  <c r="D1087" i="1"/>
  <c r="E1087" i="1"/>
  <c r="F1087" i="1"/>
  <c r="G1087" i="1"/>
  <c r="H1087" i="1"/>
  <c r="I1087" i="1"/>
  <c r="C1088" i="1"/>
  <c r="D1088" i="1"/>
  <c r="E1088" i="1"/>
  <c r="F1088" i="1"/>
  <c r="G1088" i="1"/>
  <c r="H1088" i="1"/>
  <c r="I1088" i="1"/>
  <c r="C1106" i="1"/>
  <c r="D1106" i="1"/>
  <c r="E1106" i="1"/>
  <c r="F1106" i="1"/>
  <c r="G1106" i="1"/>
  <c r="H1106" i="1"/>
  <c r="I1106" i="1"/>
  <c r="C2878" i="1"/>
  <c r="D2878" i="1"/>
  <c r="E2878" i="1"/>
  <c r="F2878" i="1"/>
  <c r="G2878" i="1"/>
  <c r="H2878" i="1"/>
  <c r="I2878" i="1"/>
  <c r="C3060" i="1"/>
  <c r="D3060" i="1"/>
  <c r="E3060" i="1"/>
  <c r="F3060" i="1"/>
  <c r="G3060" i="1"/>
  <c r="H3060" i="1"/>
  <c r="I3060" i="1"/>
  <c r="C3261" i="1"/>
  <c r="D3261" i="1"/>
  <c r="E3261" i="1"/>
  <c r="F3261" i="1"/>
  <c r="G3261" i="1"/>
  <c r="H3261" i="1"/>
  <c r="I3261" i="1"/>
  <c r="C2051" i="1"/>
  <c r="D2051" i="1"/>
  <c r="E2051" i="1"/>
  <c r="F2051" i="1"/>
  <c r="G2051" i="1"/>
  <c r="H2051" i="1"/>
  <c r="I2051" i="1"/>
  <c r="C1223" i="1"/>
  <c r="D1223" i="1"/>
  <c r="E1223" i="1"/>
  <c r="F1223" i="1"/>
  <c r="G1223" i="1"/>
  <c r="H1223" i="1"/>
  <c r="I1223" i="1"/>
  <c r="C1257" i="1"/>
  <c r="D1257" i="1"/>
  <c r="E1257" i="1"/>
  <c r="F1257" i="1"/>
  <c r="G1257" i="1"/>
  <c r="H1257" i="1"/>
  <c r="I1257" i="1"/>
  <c r="C1359" i="1"/>
  <c r="D1359" i="1"/>
  <c r="E1359" i="1"/>
  <c r="F1359" i="1"/>
  <c r="G1359" i="1"/>
  <c r="H1359" i="1"/>
  <c r="I1359" i="1"/>
  <c r="C1360" i="1"/>
  <c r="D1360" i="1"/>
  <c r="E1360" i="1"/>
  <c r="F1360" i="1"/>
  <c r="G1360" i="1"/>
  <c r="H1360" i="1"/>
  <c r="I1360" i="1"/>
  <c r="C1361" i="1"/>
  <c r="D1361" i="1"/>
  <c r="E1361" i="1"/>
  <c r="F1361" i="1"/>
  <c r="G1361" i="1"/>
  <c r="H1361" i="1"/>
  <c r="I1361" i="1"/>
  <c r="C1496" i="1"/>
  <c r="D1496" i="1"/>
  <c r="E1496" i="1"/>
  <c r="F1496" i="1"/>
  <c r="G1496" i="1"/>
  <c r="H1496" i="1"/>
  <c r="I1496" i="1"/>
  <c r="C1525" i="1"/>
  <c r="D1525" i="1"/>
  <c r="E1525" i="1"/>
  <c r="F1525" i="1"/>
  <c r="G1525" i="1"/>
  <c r="H1525" i="1"/>
  <c r="I1525" i="1"/>
  <c r="C1519" i="1"/>
  <c r="D1519" i="1"/>
  <c r="E1519" i="1"/>
  <c r="F1519" i="1"/>
  <c r="G1519" i="1"/>
  <c r="H1519" i="1"/>
  <c r="I1519" i="1"/>
  <c r="C1639" i="1"/>
  <c r="D1639" i="1"/>
  <c r="E1639" i="1"/>
  <c r="F1639" i="1"/>
  <c r="G1639" i="1"/>
  <c r="H1639" i="1"/>
  <c r="I1639" i="1"/>
  <c r="C1640" i="1"/>
  <c r="D1640" i="1"/>
  <c r="E1640" i="1"/>
  <c r="F1640" i="1"/>
  <c r="G1640" i="1"/>
  <c r="H1640" i="1"/>
  <c r="I1640" i="1"/>
  <c r="C1671" i="1"/>
  <c r="D1671" i="1"/>
  <c r="E1671" i="1"/>
  <c r="F1671" i="1"/>
  <c r="G1671" i="1"/>
  <c r="H1671" i="1"/>
  <c r="I1671" i="1"/>
  <c r="C1641" i="1"/>
  <c r="D1641" i="1"/>
  <c r="E1641" i="1"/>
  <c r="F1641" i="1"/>
  <c r="G1641" i="1"/>
  <c r="H1641" i="1"/>
  <c r="I1641" i="1"/>
  <c r="C1642" i="1"/>
  <c r="D1642" i="1"/>
  <c r="E1642" i="1"/>
  <c r="F1642" i="1"/>
  <c r="G1642" i="1"/>
  <c r="H1642" i="1"/>
  <c r="I1642" i="1"/>
  <c r="C1791" i="1"/>
  <c r="D1791" i="1"/>
  <c r="E1791" i="1"/>
  <c r="F1791" i="1"/>
  <c r="G1791" i="1"/>
  <c r="H1791" i="1"/>
  <c r="I1791" i="1"/>
  <c r="C1798" i="1"/>
  <c r="D1798" i="1"/>
  <c r="E1798" i="1"/>
  <c r="F1798" i="1"/>
  <c r="G1798" i="1"/>
  <c r="H1798" i="1"/>
  <c r="I1798" i="1"/>
  <c r="C1802" i="1"/>
  <c r="D1802" i="1"/>
  <c r="E1802" i="1"/>
  <c r="F1802" i="1"/>
  <c r="G1802" i="1"/>
  <c r="H1802" i="1"/>
  <c r="I1802" i="1"/>
  <c r="C959" i="1"/>
  <c r="D959" i="1"/>
  <c r="E959" i="1"/>
  <c r="F959" i="1"/>
  <c r="G959" i="1"/>
  <c r="H959" i="1"/>
  <c r="I959" i="1"/>
  <c r="C1792" i="1"/>
  <c r="D1792" i="1"/>
  <c r="E1792" i="1"/>
  <c r="F1792" i="1"/>
  <c r="G1792" i="1"/>
  <c r="H1792" i="1"/>
  <c r="I1792" i="1"/>
  <c r="C1914" i="1"/>
  <c r="D1914" i="1"/>
  <c r="E1914" i="1"/>
  <c r="F1914" i="1"/>
  <c r="G1914" i="1"/>
  <c r="H1914" i="1"/>
  <c r="I1914" i="1"/>
  <c r="C1915" i="1"/>
  <c r="D1915" i="1"/>
  <c r="E1915" i="1"/>
  <c r="F1915" i="1"/>
  <c r="G1915" i="1"/>
  <c r="H1915" i="1"/>
  <c r="I1915" i="1"/>
  <c r="C1916" i="1"/>
  <c r="D1916" i="1"/>
  <c r="E1916" i="1"/>
  <c r="F1916" i="1"/>
  <c r="G1916" i="1"/>
  <c r="H1916" i="1"/>
  <c r="I1916" i="1"/>
  <c r="C1939" i="1"/>
  <c r="D1939" i="1"/>
  <c r="E1939" i="1"/>
  <c r="F1939" i="1"/>
  <c r="G1939" i="1"/>
  <c r="H1939" i="1"/>
  <c r="I1939" i="1"/>
  <c r="C1917" i="1"/>
  <c r="D1917" i="1"/>
  <c r="E1917" i="1"/>
  <c r="F1917" i="1"/>
  <c r="G1917" i="1"/>
  <c r="H1917" i="1"/>
  <c r="I1917" i="1"/>
  <c r="C1918" i="1"/>
  <c r="D1918" i="1"/>
  <c r="E1918" i="1"/>
  <c r="F1918" i="1"/>
  <c r="G1918" i="1"/>
  <c r="H1918" i="1"/>
  <c r="I1918" i="1"/>
  <c r="C1919" i="1"/>
  <c r="D1919" i="1"/>
  <c r="E1919" i="1"/>
  <c r="F1919" i="1"/>
  <c r="G1919" i="1"/>
  <c r="H1919" i="1"/>
  <c r="I1919" i="1"/>
  <c r="C2075" i="1"/>
  <c r="D2075" i="1"/>
  <c r="E2075" i="1"/>
  <c r="F2075" i="1"/>
  <c r="G2075" i="1"/>
  <c r="H2075" i="1"/>
  <c r="I2075" i="1"/>
  <c r="C2066" i="1"/>
  <c r="D2066" i="1"/>
  <c r="E2066" i="1"/>
  <c r="F2066" i="1"/>
  <c r="G2066" i="1"/>
  <c r="H2066" i="1"/>
  <c r="I2066" i="1"/>
  <c r="C2166" i="1"/>
  <c r="D2166" i="1"/>
  <c r="E2166" i="1"/>
  <c r="F2166" i="1"/>
  <c r="G2166" i="1"/>
  <c r="H2166" i="1"/>
  <c r="I2166" i="1"/>
  <c r="C2167" i="1"/>
  <c r="D2167" i="1"/>
  <c r="E2167" i="1"/>
  <c r="F2167" i="1"/>
  <c r="G2167" i="1"/>
  <c r="H2167" i="1"/>
  <c r="I2167" i="1"/>
  <c r="C2168" i="1"/>
  <c r="D2168" i="1"/>
  <c r="E2168" i="1"/>
  <c r="F2168" i="1"/>
  <c r="G2168" i="1"/>
  <c r="H2168" i="1"/>
  <c r="I2168" i="1"/>
  <c r="C2318" i="1"/>
  <c r="D2318" i="1"/>
  <c r="E2318" i="1"/>
  <c r="F2318" i="1"/>
  <c r="G2318" i="1"/>
  <c r="H2318" i="1"/>
  <c r="I2318" i="1"/>
  <c r="C2451" i="1"/>
  <c r="D2451" i="1"/>
  <c r="E2451" i="1"/>
  <c r="F2451" i="1"/>
  <c r="G2451" i="1"/>
  <c r="H2451" i="1"/>
  <c r="I2451" i="1"/>
  <c r="C2566" i="1"/>
  <c r="D2566" i="1"/>
  <c r="E2566" i="1"/>
  <c r="F2566" i="1"/>
  <c r="G2566" i="1"/>
  <c r="H2566" i="1"/>
  <c r="I2566" i="1"/>
  <c r="C2560" i="1"/>
  <c r="D2560" i="1"/>
  <c r="E2560" i="1"/>
  <c r="F2560" i="1"/>
  <c r="G2560" i="1"/>
  <c r="H2560" i="1"/>
  <c r="I2560" i="1"/>
  <c r="C2574" i="1"/>
  <c r="D2574" i="1"/>
  <c r="E2574" i="1"/>
  <c r="F2574" i="1"/>
  <c r="G2574" i="1"/>
  <c r="H2574" i="1"/>
  <c r="I2574" i="1"/>
  <c r="C2543" i="1"/>
  <c r="D2543" i="1"/>
  <c r="E2543" i="1"/>
  <c r="F2543" i="1"/>
  <c r="G2543" i="1"/>
  <c r="H2543" i="1"/>
  <c r="I2543" i="1"/>
  <c r="C2680" i="1"/>
  <c r="D2680" i="1"/>
  <c r="E2680" i="1"/>
  <c r="F2680" i="1"/>
  <c r="G2680" i="1"/>
  <c r="H2680" i="1"/>
  <c r="I2680" i="1"/>
  <c r="C3116" i="1"/>
  <c r="D3116" i="1"/>
  <c r="E3116" i="1"/>
  <c r="F3116" i="1"/>
  <c r="G3116" i="1"/>
  <c r="H3116" i="1"/>
  <c r="I3116" i="1"/>
  <c r="C455" i="1"/>
  <c r="D455" i="1"/>
  <c r="E455" i="1"/>
  <c r="F455" i="1"/>
  <c r="G455" i="1"/>
  <c r="H455" i="1"/>
  <c r="I455" i="1"/>
  <c r="C3964" i="1"/>
  <c r="D3964" i="1"/>
  <c r="E3964" i="1"/>
  <c r="F3964" i="1"/>
  <c r="G3964" i="1"/>
  <c r="H3964" i="1"/>
  <c r="I3964" i="1"/>
  <c r="C269" i="1"/>
  <c r="D269" i="1"/>
  <c r="E269" i="1"/>
  <c r="F269" i="1"/>
  <c r="G269" i="1"/>
  <c r="H269" i="1"/>
  <c r="I269" i="1"/>
  <c r="C195" i="1"/>
  <c r="D195" i="1"/>
  <c r="E195" i="1"/>
  <c r="F195" i="1"/>
  <c r="G195" i="1"/>
  <c r="H195" i="1"/>
  <c r="I195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20" i="1"/>
  <c r="D120" i="1"/>
  <c r="E120" i="1"/>
  <c r="F120" i="1"/>
  <c r="G120" i="1"/>
  <c r="H120" i="1"/>
  <c r="I120" i="1"/>
  <c r="C121" i="1"/>
  <c r="D121" i="1"/>
  <c r="E121" i="1"/>
  <c r="F121" i="1"/>
  <c r="G121" i="1"/>
  <c r="H121" i="1"/>
  <c r="I121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232" i="1"/>
  <c r="D232" i="1"/>
  <c r="E232" i="1"/>
  <c r="F232" i="1"/>
  <c r="G232" i="1"/>
  <c r="H232" i="1"/>
  <c r="I232" i="1"/>
  <c r="C309" i="1"/>
  <c r="D309" i="1"/>
  <c r="E309" i="1"/>
  <c r="F309" i="1"/>
  <c r="G309" i="1"/>
  <c r="H309" i="1"/>
  <c r="I309" i="1"/>
  <c r="C4028" i="1"/>
  <c r="D4028" i="1"/>
  <c r="E4028" i="1"/>
  <c r="F4028" i="1"/>
  <c r="G4028" i="1"/>
  <c r="H4028" i="1"/>
  <c r="I4028" i="1"/>
  <c r="C3997" i="1"/>
  <c r="D3997" i="1"/>
  <c r="E3997" i="1"/>
  <c r="F3997" i="1"/>
  <c r="G3997" i="1"/>
  <c r="H3997" i="1"/>
  <c r="I3997" i="1"/>
  <c r="C3998" i="1"/>
  <c r="D3998" i="1"/>
  <c r="E3998" i="1"/>
  <c r="F3998" i="1"/>
  <c r="G3998" i="1"/>
  <c r="H3998" i="1"/>
  <c r="I3998" i="1"/>
  <c r="C641" i="1"/>
  <c r="D641" i="1"/>
  <c r="E641" i="1"/>
  <c r="F641" i="1"/>
  <c r="G641" i="1"/>
  <c r="H641" i="1"/>
  <c r="I641" i="1"/>
  <c r="C3968" i="1"/>
  <c r="D3968" i="1"/>
  <c r="E3968" i="1"/>
  <c r="F3968" i="1"/>
  <c r="G3968" i="1"/>
  <c r="H3968" i="1"/>
  <c r="I3968" i="1"/>
  <c r="C696" i="1"/>
  <c r="D696" i="1"/>
  <c r="E696" i="1"/>
  <c r="F696" i="1"/>
  <c r="G696" i="1"/>
  <c r="H696" i="1"/>
  <c r="I696" i="1"/>
  <c r="C746" i="1"/>
  <c r="D746" i="1"/>
  <c r="E746" i="1"/>
  <c r="F746" i="1"/>
  <c r="G746" i="1"/>
  <c r="H746" i="1"/>
  <c r="I746" i="1"/>
  <c r="C747" i="1"/>
  <c r="D747" i="1"/>
  <c r="E747" i="1"/>
  <c r="F747" i="1"/>
  <c r="G747" i="1"/>
  <c r="H747" i="1"/>
  <c r="I747" i="1"/>
  <c r="C822" i="1"/>
  <c r="D822" i="1"/>
  <c r="E822" i="1"/>
  <c r="F822" i="1"/>
  <c r="G822" i="1"/>
  <c r="H822" i="1"/>
  <c r="I822" i="1"/>
  <c r="C1089" i="1"/>
  <c r="D1089" i="1"/>
  <c r="E1089" i="1"/>
  <c r="F1089" i="1"/>
  <c r="G1089" i="1"/>
  <c r="H1089" i="1"/>
  <c r="I1089" i="1"/>
  <c r="C3752" i="1"/>
  <c r="D3752" i="1"/>
  <c r="E3752" i="1"/>
  <c r="F3752" i="1"/>
  <c r="G3752" i="1"/>
  <c r="H3752" i="1"/>
  <c r="I3752" i="1"/>
  <c r="C3753" i="1"/>
  <c r="D3753" i="1"/>
  <c r="E3753" i="1"/>
  <c r="F3753" i="1"/>
  <c r="G3753" i="1"/>
  <c r="H3753" i="1"/>
  <c r="I3753" i="1"/>
  <c r="C3754" i="1"/>
  <c r="D3754" i="1"/>
  <c r="E3754" i="1"/>
  <c r="F3754" i="1"/>
  <c r="G3754" i="1"/>
  <c r="H3754" i="1"/>
  <c r="I3754" i="1"/>
  <c r="C3648" i="1"/>
  <c r="D3648" i="1"/>
  <c r="E3648" i="1"/>
  <c r="F3648" i="1"/>
  <c r="G3648" i="1"/>
  <c r="H3648" i="1"/>
  <c r="I3648" i="1"/>
  <c r="C3649" i="1"/>
  <c r="D3649" i="1"/>
  <c r="E3649" i="1"/>
  <c r="F3649" i="1"/>
  <c r="G3649" i="1"/>
  <c r="H3649" i="1"/>
  <c r="I3649" i="1"/>
  <c r="C3528" i="1"/>
  <c r="D3528" i="1"/>
  <c r="E3528" i="1"/>
  <c r="F3528" i="1"/>
  <c r="G3528" i="1"/>
  <c r="H3528" i="1"/>
  <c r="I3528" i="1"/>
  <c r="C3472" i="1"/>
  <c r="D3472" i="1"/>
  <c r="E3472" i="1"/>
  <c r="F3472" i="1"/>
  <c r="G3472" i="1"/>
  <c r="H3472" i="1"/>
  <c r="I3472" i="1"/>
  <c r="C1362" i="1"/>
  <c r="D1362" i="1"/>
  <c r="E1362" i="1"/>
  <c r="F1362" i="1"/>
  <c r="G1362" i="1"/>
  <c r="H1362" i="1"/>
  <c r="I1362" i="1"/>
  <c r="C1363" i="1"/>
  <c r="D1363" i="1"/>
  <c r="E1363" i="1"/>
  <c r="F1363" i="1"/>
  <c r="G1363" i="1"/>
  <c r="H1363" i="1"/>
  <c r="I1363" i="1"/>
  <c r="C1497" i="1"/>
  <c r="D1497" i="1"/>
  <c r="E1497" i="1"/>
  <c r="F1497" i="1"/>
  <c r="G1497" i="1"/>
  <c r="H1497" i="1"/>
  <c r="I1497" i="1"/>
  <c r="C1498" i="1"/>
  <c r="D1498" i="1"/>
  <c r="E1498" i="1"/>
  <c r="F1498" i="1"/>
  <c r="G1498" i="1"/>
  <c r="H1498" i="1"/>
  <c r="I1498" i="1"/>
  <c r="C1499" i="1"/>
  <c r="D1499" i="1"/>
  <c r="E1499" i="1"/>
  <c r="F1499" i="1"/>
  <c r="G1499" i="1"/>
  <c r="H1499" i="1"/>
  <c r="I1499" i="1"/>
  <c r="C1665" i="1"/>
  <c r="D1665" i="1"/>
  <c r="E1665" i="1"/>
  <c r="F1665" i="1"/>
  <c r="G1665" i="1"/>
  <c r="H1665" i="1"/>
  <c r="I1665" i="1"/>
  <c r="C1643" i="1"/>
  <c r="D1643" i="1"/>
  <c r="E1643" i="1"/>
  <c r="F1643" i="1"/>
  <c r="G1643" i="1"/>
  <c r="H1643" i="1"/>
  <c r="I1643" i="1"/>
  <c r="C1644" i="1"/>
  <c r="D1644" i="1"/>
  <c r="E1644" i="1"/>
  <c r="F1644" i="1"/>
  <c r="G1644" i="1"/>
  <c r="H1644" i="1"/>
  <c r="I1644" i="1"/>
  <c r="C1645" i="1"/>
  <c r="D1645" i="1"/>
  <c r="E1645" i="1"/>
  <c r="F1645" i="1"/>
  <c r="G1645" i="1"/>
  <c r="H1645" i="1"/>
  <c r="I1645" i="1"/>
  <c r="C1646" i="1"/>
  <c r="D1646" i="1"/>
  <c r="E1646" i="1"/>
  <c r="F1646" i="1"/>
  <c r="G1646" i="1"/>
  <c r="H1646" i="1"/>
  <c r="I1646" i="1"/>
  <c r="C3807" i="1"/>
  <c r="D3807" i="1"/>
  <c r="E3807" i="1"/>
  <c r="F3807" i="1"/>
  <c r="G3807" i="1"/>
  <c r="H3807" i="1"/>
  <c r="I3807" i="1"/>
  <c r="C3698" i="1"/>
  <c r="D3698" i="1"/>
  <c r="E3698" i="1"/>
  <c r="F3698" i="1"/>
  <c r="G3698" i="1"/>
  <c r="H3698" i="1"/>
  <c r="I3698" i="1"/>
  <c r="C1793" i="1"/>
  <c r="D1793" i="1"/>
  <c r="E1793" i="1"/>
  <c r="F1793" i="1"/>
  <c r="G1793" i="1"/>
  <c r="H1793" i="1"/>
  <c r="I1793" i="1"/>
  <c r="C1936" i="1"/>
  <c r="D1936" i="1"/>
  <c r="E1936" i="1"/>
  <c r="F1936" i="1"/>
  <c r="G1936" i="1"/>
  <c r="H1936" i="1"/>
  <c r="I1936" i="1"/>
  <c r="C2304" i="1"/>
  <c r="D2304" i="1"/>
  <c r="E2304" i="1"/>
  <c r="F2304" i="1"/>
  <c r="G2304" i="1"/>
  <c r="H2304" i="1"/>
  <c r="I2304" i="1"/>
  <c r="C2293" i="1"/>
  <c r="D2293" i="1"/>
  <c r="E2293" i="1"/>
  <c r="F2293" i="1"/>
  <c r="G2293" i="1"/>
  <c r="H2293" i="1"/>
  <c r="I2293" i="1"/>
  <c r="C2423" i="1"/>
  <c r="D2423" i="1"/>
  <c r="E2423" i="1"/>
  <c r="F2423" i="1"/>
  <c r="G2423" i="1"/>
  <c r="H2423" i="1"/>
  <c r="I2423" i="1"/>
  <c r="C2544" i="1"/>
  <c r="D2544" i="1"/>
  <c r="E2544" i="1"/>
  <c r="F2544" i="1"/>
  <c r="G2544" i="1"/>
  <c r="H2544" i="1"/>
  <c r="I2544" i="1"/>
  <c r="C2654" i="1"/>
  <c r="D2654" i="1"/>
  <c r="E2654" i="1"/>
  <c r="F2654" i="1"/>
  <c r="G2654" i="1"/>
  <c r="H2654" i="1"/>
  <c r="I2654" i="1"/>
  <c r="C2867" i="1"/>
  <c r="D2867" i="1"/>
  <c r="E2867" i="1"/>
  <c r="F2867" i="1"/>
  <c r="G2867" i="1"/>
  <c r="H2867" i="1"/>
  <c r="I2867" i="1"/>
  <c r="C4154" i="1"/>
  <c r="D4154" i="1"/>
  <c r="E4154" i="1"/>
  <c r="F4154" i="1"/>
  <c r="G4154" i="1"/>
  <c r="H4154" i="1"/>
  <c r="I4154" i="1"/>
  <c r="C3051" i="1"/>
  <c r="D3051" i="1"/>
  <c r="E3051" i="1"/>
  <c r="F3051" i="1"/>
  <c r="G3051" i="1"/>
  <c r="H3051" i="1"/>
  <c r="I3051" i="1"/>
  <c r="C3117" i="1"/>
  <c r="D3117" i="1"/>
  <c r="E3117" i="1"/>
  <c r="F3117" i="1"/>
  <c r="G3117" i="1"/>
  <c r="H3117" i="1"/>
  <c r="I3117" i="1"/>
  <c r="C3118" i="1"/>
  <c r="D3118" i="1"/>
  <c r="E3118" i="1"/>
  <c r="F3118" i="1"/>
  <c r="G3118" i="1"/>
  <c r="H3118" i="1"/>
  <c r="I3118" i="1"/>
  <c r="C3119" i="1"/>
  <c r="D3119" i="1"/>
  <c r="E3119" i="1"/>
  <c r="F3119" i="1"/>
  <c r="G3119" i="1"/>
  <c r="H3119" i="1"/>
  <c r="I3119" i="1"/>
  <c r="C3183" i="1"/>
  <c r="D3183" i="1"/>
  <c r="E3183" i="1"/>
  <c r="F3183" i="1"/>
  <c r="G3183" i="1"/>
  <c r="H3183" i="1"/>
  <c r="I3183" i="1"/>
  <c r="C3184" i="1"/>
  <c r="D3184" i="1"/>
  <c r="E3184" i="1"/>
  <c r="F3184" i="1"/>
  <c r="G3184" i="1"/>
  <c r="H3184" i="1"/>
  <c r="I3184" i="1"/>
  <c r="C3185" i="1"/>
  <c r="D3185" i="1"/>
  <c r="E3185" i="1"/>
  <c r="F3185" i="1"/>
  <c r="G3185" i="1"/>
  <c r="H3185" i="1"/>
  <c r="I3185" i="1"/>
  <c r="C3186" i="1"/>
  <c r="D3186" i="1"/>
  <c r="E3186" i="1"/>
  <c r="F3186" i="1"/>
  <c r="G3186" i="1"/>
  <c r="H3186" i="1"/>
  <c r="I3186" i="1"/>
  <c r="C3255" i="1"/>
  <c r="D3255" i="1"/>
  <c r="E3255" i="1"/>
  <c r="F3255" i="1"/>
  <c r="G3255" i="1"/>
  <c r="H3255" i="1"/>
  <c r="I3255" i="1"/>
  <c r="C3256" i="1"/>
  <c r="D3256" i="1"/>
  <c r="E3256" i="1"/>
  <c r="F3256" i="1"/>
  <c r="G3256" i="1"/>
  <c r="H3256" i="1"/>
  <c r="I3256" i="1"/>
  <c r="C3257" i="1"/>
  <c r="D3257" i="1"/>
  <c r="E3257" i="1"/>
  <c r="F3257" i="1"/>
  <c r="G3257" i="1"/>
  <c r="H3257" i="1"/>
  <c r="I3257" i="1"/>
  <c r="C3273" i="1"/>
  <c r="D3273" i="1"/>
  <c r="E3273" i="1"/>
  <c r="F3273" i="1"/>
  <c r="G3273" i="1"/>
  <c r="H3273" i="1"/>
  <c r="I3273" i="1"/>
  <c r="C3398" i="1"/>
  <c r="D3398" i="1"/>
  <c r="E3398" i="1"/>
  <c r="F3398" i="1"/>
  <c r="G3398" i="1"/>
  <c r="H3398" i="1"/>
  <c r="I3398" i="1"/>
  <c r="C3399" i="1"/>
  <c r="D3399" i="1"/>
  <c r="E3399" i="1"/>
  <c r="F3399" i="1"/>
  <c r="G3399" i="1"/>
  <c r="H3399" i="1"/>
  <c r="I3399" i="1"/>
  <c r="C3464" i="1"/>
  <c r="D3464" i="1"/>
  <c r="E3464" i="1"/>
  <c r="F3464" i="1"/>
  <c r="G3464" i="1"/>
  <c r="H3464" i="1"/>
  <c r="I3464" i="1"/>
  <c r="C3465" i="1"/>
  <c r="D3465" i="1"/>
  <c r="E3465" i="1"/>
  <c r="F3465" i="1"/>
  <c r="G3465" i="1"/>
  <c r="H3465" i="1"/>
  <c r="I3465" i="1"/>
  <c r="C3466" i="1"/>
  <c r="D3466" i="1"/>
  <c r="E3466" i="1"/>
  <c r="F3466" i="1"/>
  <c r="G3466" i="1"/>
  <c r="H3466" i="1"/>
  <c r="I3466" i="1"/>
  <c r="C3467" i="1"/>
  <c r="D3467" i="1"/>
  <c r="E3467" i="1"/>
  <c r="F3467" i="1"/>
  <c r="G3467" i="1"/>
  <c r="H3467" i="1"/>
  <c r="I3467" i="1"/>
  <c r="C3521" i="1"/>
  <c r="D3521" i="1"/>
  <c r="E3521" i="1"/>
  <c r="F3521" i="1"/>
  <c r="G3521" i="1"/>
  <c r="H3521" i="1"/>
  <c r="I3521" i="1"/>
  <c r="C3522" i="1"/>
  <c r="D3522" i="1"/>
  <c r="E3522" i="1"/>
  <c r="F3522" i="1"/>
  <c r="G3522" i="1"/>
  <c r="H3522" i="1"/>
  <c r="I3522" i="1"/>
  <c r="C3523" i="1"/>
  <c r="D3523" i="1"/>
  <c r="E3523" i="1"/>
  <c r="F3523" i="1"/>
  <c r="G3523" i="1"/>
  <c r="H3523" i="1"/>
  <c r="I3523" i="1"/>
  <c r="C3581" i="1"/>
  <c r="D3581" i="1"/>
  <c r="E3581" i="1"/>
  <c r="F3581" i="1"/>
  <c r="G3581" i="1"/>
  <c r="H3581" i="1"/>
  <c r="I3581" i="1"/>
  <c r="C3582" i="1"/>
  <c r="D3582" i="1"/>
  <c r="E3582" i="1"/>
  <c r="F3582" i="1"/>
  <c r="G3582" i="1"/>
  <c r="H3582" i="1"/>
  <c r="I3582" i="1"/>
  <c r="C3693" i="1"/>
  <c r="D3693" i="1"/>
  <c r="E3693" i="1"/>
  <c r="F3693" i="1"/>
  <c r="G3693" i="1"/>
  <c r="H3693" i="1"/>
  <c r="I3693" i="1"/>
  <c r="C3744" i="1"/>
  <c r="D3744" i="1"/>
  <c r="E3744" i="1"/>
  <c r="F3744" i="1"/>
  <c r="G3744" i="1"/>
  <c r="H3744" i="1"/>
  <c r="I3744" i="1"/>
  <c r="C3745" i="1"/>
  <c r="D3745" i="1"/>
  <c r="E3745" i="1"/>
  <c r="F3745" i="1"/>
  <c r="G3745" i="1"/>
  <c r="H3745" i="1"/>
  <c r="I3745" i="1"/>
  <c r="C3746" i="1"/>
  <c r="D3746" i="1"/>
  <c r="E3746" i="1"/>
  <c r="F3746" i="1"/>
  <c r="G3746" i="1"/>
  <c r="H3746" i="1"/>
  <c r="I3746" i="1"/>
  <c r="C3747" i="1"/>
  <c r="D3747" i="1"/>
  <c r="E3747" i="1"/>
  <c r="F3747" i="1"/>
  <c r="G3747" i="1"/>
  <c r="H3747" i="1"/>
  <c r="I3747" i="1"/>
  <c r="C3588" i="1"/>
  <c r="D3588" i="1"/>
  <c r="E3588" i="1"/>
  <c r="F3588" i="1"/>
  <c r="G3588" i="1"/>
  <c r="H3588" i="1"/>
  <c r="I3588" i="1"/>
  <c r="C3798" i="1"/>
  <c r="D3798" i="1"/>
  <c r="E3798" i="1"/>
  <c r="F3798" i="1"/>
  <c r="G3798" i="1"/>
  <c r="H3798" i="1"/>
  <c r="I3798" i="1"/>
  <c r="C3799" i="1"/>
  <c r="D3799" i="1"/>
  <c r="E3799" i="1"/>
  <c r="F3799" i="1"/>
  <c r="G3799" i="1"/>
  <c r="H3799" i="1"/>
  <c r="I3799" i="1"/>
  <c r="C3800" i="1"/>
  <c r="D3800" i="1"/>
  <c r="E3800" i="1"/>
  <c r="F3800" i="1"/>
  <c r="G3800" i="1"/>
  <c r="H3800" i="1"/>
  <c r="I3800" i="1"/>
  <c r="C3801" i="1"/>
  <c r="D3801" i="1"/>
  <c r="E3801" i="1"/>
  <c r="F3801" i="1"/>
  <c r="G3801" i="1"/>
  <c r="H3801" i="1"/>
  <c r="I3801" i="1"/>
  <c r="C3802" i="1"/>
  <c r="D3802" i="1"/>
  <c r="E3802" i="1"/>
  <c r="F3802" i="1"/>
  <c r="G3802" i="1"/>
  <c r="H3802" i="1"/>
  <c r="I3802" i="1"/>
  <c r="C3813" i="1"/>
  <c r="D3813" i="1"/>
  <c r="E3813" i="1"/>
  <c r="F3813" i="1"/>
  <c r="G3813" i="1"/>
  <c r="H3813" i="1"/>
  <c r="I3813" i="1"/>
  <c r="C3935" i="1"/>
  <c r="D3935" i="1"/>
  <c r="E3935" i="1"/>
  <c r="F3935" i="1"/>
  <c r="G3935" i="1"/>
  <c r="H3935" i="1"/>
  <c r="I3935" i="1"/>
  <c r="C3906" i="1"/>
  <c r="D3906" i="1"/>
  <c r="E3906" i="1"/>
  <c r="F3906" i="1"/>
  <c r="G3906" i="1"/>
  <c r="H3906" i="1"/>
  <c r="I3906" i="1"/>
  <c r="C1381" i="1"/>
  <c r="D1381" i="1"/>
  <c r="E1381" i="1"/>
  <c r="F1381" i="1"/>
  <c r="G1381" i="1"/>
  <c r="H1381" i="1"/>
  <c r="I1381" i="1"/>
  <c r="C1101" i="1"/>
  <c r="D1101" i="1"/>
  <c r="E1101" i="1"/>
  <c r="F1101" i="1"/>
  <c r="G1101" i="1"/>
  <c r="H1101" i="1"/>
  <c r="I1101" i="1"/>
  <c r="C2868" i="1"/>
  <c r="D2868" i="1"/>
  <c r="E2868" i="1"/>
  <c r="F2868" i="1"/>
  <c r="G2868" i="1"/>
  <c r="H2868" i="1"/>
  <c r="I2868" i="1"/>
  <c r="C3965" i="1"/>
  <c r="D3965" i="1"/>
  <c r="E3965" i="1"/>
  <c r="F3965" i="1"/>
  <c r="G3965" i="1"/>
  <c r="H3965" i="1"/>
  <c r="I3965" i="1"/>
  <c r="C3803" i="1"/>
  <c r="D3803" i="1"/>
  <c r="E3803" i="1"/>
  <c r="F3803" i="1"/>
  <c r="G3803" i="1"/>
  <c r="H3803" i="1"/>
  <c r="I3803" i="1"/>
  <c r="C3468" i="1"/>
  <c r="D3468" i="1"/>
  <c r="E3468" i="1"/>
  <c r="F3468" i="1"/>
  <c r="G3468" i="1"/>
  <c r="H3468" i="1"/>
  <c r="I3468" i="1"/>
  <c r="C3052" i="1"/>
  <c r="D3052" i="1"/>
  <c r="E3052" i="1"/>
  <c r="F3052" i="1"/>
  <c r="G3052" i="1"/>
  <c r="H3052" i="1"/>
  <c r="I3052" i="1"/>
  <c r="C3187" i="1"/>
  <c r="D3187" i="1"/>
  <c r="E3187" i="1"/>
  <c r="F3187" i="1"/>
  <c r="G3187" i="1"/>
  <c r="H3187" i="1"/>
  <c r="I3187" i="1"/>
  <c r="C2655" i="1"/>
  <c r="D2655" i="1"/>
  <c r="E2655" i="1"/>
  <c r="F2655" i="1"/>
  <c r="G2655" i="1"/>
  <c r="H2655" i="1"/>
  <c r="I2655" i="1"/>
  <c r="C1937" i="1"/>
  <c r="D1937" i="1"/>
  <c r="E1937" i="1"/>
  <c r="F1937" i="1"/>
  <c r="G1937" i="1"/>
  <c r="H1937" i="1"/>
  <c r="I1937" i="1"/>
  <c r="C2424" i="1"/>
  <c r="D2424" i="1"/>
  <c r="E2424" i="1"/>
  <c r="F2424" i="1"/>
  <c r="G2424" i="1"/>
  <c r="H2424" i="1"/>
  <c r="I2424" i="1"/>
  <c r="C2169" i="1"/>
  <c r="D2169" i="1"/>
  <c r="E2169" i="1"/>
  <c r="F2169" i="1"/>
  <c r="G2169" i="1"/>
  <c r="H2169" i="1"/>
  <c r="I2169" i="1"/>
  <c r="C2045" i="1"/>
  <c r="D2045" i="1"/>
  <c r="E2045" i="1"/>
  <c r="F2045" i="1"/>
  <c r="G2045" i="1"/>
  <c r="H2045" i="1"/>
  <c r="I2045" i="1"/>
  <c r="C2568" i="1"/>
  <c r="D2568" i="1"/>
  <c r="E2568" i="1"/>
  <c r="F2568" i="1"/>
  <c r="G2568" i="1"/>
  <c r="H2568" i="1"/>
  <c r="I2568" i="1"/>
  <c r="C2685" i="1"/>
  <c r="D2685" i="1"/>
  <c r="E2685" i="1"/>
  <c r="F2685" i="1"/>
  <c r="G2685" i="1"/>
  <c r="H2685" i="1"/>
  <c r="I2685" i="1"/>
  <c r="C2799" i="1"/>
  <c r="D2799" i="1"/>
  <c r="E2799" i="1"/>
  <c r="F2799" i="1"/>
  <c r="G2799" i="1"/>
  <c r="H2799" i="1"/>
  <c r="I2799" i="1"/>
  <c r="C2793" i="1"/>
  <c r="D2793" i="1"/>
  <c r="E2793" i="1"/>
  <c r="F2793" i="1"/>
  <c r="G2793" i="1"/>
  <c r="H2793" i="1"/>
  <c r="I2793" i="1"/>
  <c r="C2991" i="1"/>
  <c r="D2991" i="1"/>
  <c r="E2991" i="1"/>
  <c r="F2991" i="1"/>
  <c r="G2991" i="1"/>
  <c r="H2991" i="1"/>
  <c r="I2991" i="1"/>
  <c r="C3895" i="1"/>
  <c r="D3895" i="1"/>
  <c r="E3895" i="1"/>
  <c r="F3895" i="1"/>
  <c r="G3895" i="1"/>
  <c r="H3895" i="1"/>
  <c r="I3895" i="1"/>
  <c r="C3804" i="1"/>
  <c r="D3804" i="1"/>
  <c r="E3804" i="1"/>
  <c r="F3804" i="1"/>
  <c r="G3804" i="1"/>
  <c r="H3804" i="1"/>
  <c r="I3804" i="1"/>
  <c r="C4249" i="1"/>
  <c r="D4249" i="1"/>
  <c r="E4249" i="1"/>
  <c r="F4249" i="1"/>
  <c r="G4249" i="1"/>
  <c r="H4249" i="1"/>
  <c r="I4249" i="1"/>
  <c r="C4247" i="1"/>
  <c r="D4247" i="1"/>
  <c r="E4247" i="1"/>
  <c r="F4247" i="1"/>
  <c r="G4247" i="1"/>
  <c r="H4247" i="1"/>
  <c r="I4247" i="1"/>
  <c r="C4245" i="1"/>
  <c r="D4245" i="1"/>
  <c r="E4245" i="1"/>
  <c r="F4245" i="1"/>
  <c r="G4245" i="1"/>
  <c r="H4245" i="1"/>
  <c r="I4245" i="1"/>
  <c r="C2425" i="1"/>
  <c r="D2425" i="1"/>
  <c r="E2425" i="1"/>
  <c r="F2425" i="1"/>
  <c r="G2425" i="1"/>
  <c r="H2425" i="1"/>
  <c r="I2425" i="1"/>
  <c r="C748" i="1"/>
  <c r="D748" i="1"/>
  <c r="E748" i="1"/>
  <c r="F748" i="1"/>
  <c r="G748" i="1"/>
  <c r="H748" i="1"/>
  <c r="I748" i="1"/>
  <c r="C4373" i="1"/>
  <c r="D4373" i="1"/>
  <c r="E4373" i="1"/>
  <c r="F4373" i="1"/>
  <c r="G4373" i="1"/>
  <c r="H4373" i="1"/>
  <c r="I4373" i="1"/>
  <c r="C2656" i="1"/>
  <c r="D2656" i="1"/>
  <c r="E2656" i="1"/>
  <c r="F2656" i="1"/>
  <c r="G2656" i="1"/>
  <c r="H2656" i="1"/>
  <c r="I2656" i="1"/>
  <c r="C2179" i="1"/>
  <c r="D2179" i="1"/>
  <c r="E2179" i="1"/>
  <c r="F2179" i="1"/>
  <c r="G2179" i="1"/>
  <c r="H2179" i="1"/>
  <c r="I2179" i="1"/>
  <c r="C173" i="1"/>
  <c r="D173" i="1"/>
  <c r="E173" i="1"/>
  <c r="F173" i="1"/>
  <c r="G173" i="1"/>
  <c r="H173" i="1"/>
  <c r="I173" i="1"/>
  <c r="C310" i="1"/>
  <c r="D310" i="1"/>
  <c r="E310" i="1"/>
  <c r="F310" i="1"/>
  <c r="G310" i="1"/>
  <c r="H310" i="1"/>
  <c r="I310" i="1"/>
  <c r="C311" i="1"/>
  <c r="D311" i="1"/>
  <c r="E311" i="1"/>
  <c r="F311" i="1"/>
  <c r="G311" i="1"/>
  <c r="H311" i="1"/>
  <c r="I311" i="1"/>
  <c r="C513" i="1"/>
  <c r="D513" i="1"/>
  <c r="E513" i="1"/>
  <c r="F513" i="1"/>
  <c r="G513" i="1"/>
  <c r="H513" i="1"/>
  <c r="I513" i="1"/>
  <c r="C4374" i="1"/>
  <c r="D4374" i="1"/>
  <c r="E4374" i="1"/>
  <c r="F4374" i="1"/>
  <c r="G4374" i="1"/>
  <c r="H4374" i="1"/>
  <c r="I4374" i="1"/>
  <c r="C823" i="1"/>
  <c r="D823" i="1"/>
  <c r="E823" i="1"/>
  <c r="F823" i="1"/>
  <c r="G823" i="1"/>
  <c r="H823" i="1"/>
  <c r="I823" i="1"/>
  <c r="C948" i="1"/>
  <c r="D948" i="1"/>
  <c r="E948" i="1"/>
  <c r="F948" i="1"/>
  <c r="G948" i="1"/>
  <c r="H948" i="1"/>
  <c r="I948" i="1"/>
  <c r="C949" i="1"/>
  <c r="D949" i="1"/>
  <c r="E949" i="1"/>
  <c r="F949" i="1"/>
  <c r="G949" i="1"/>
  <c r="H949" i="1"/>
  <c r="I949" i="1"/>
  <c r="C982" i="1"/>
  <c r="D982" i="1"/>
  <c r="E982" i="1"/>
  <c r="F982" i="1"/>
  <c r="G982" i="1"/>
  <c r="H982" i="1"/>
  <c r="I982" i="1"/>
  <c r="C1090" i="1"/>
  <c r="D1090" i="1"/>
  <c r="E1090" i="1"/>
  <c r="F1090" i="1"/>
  <c r="G1090" i="1"/>
  <c r="H1090" i="1"/>
  <c r="I1090" i="1"/>
  <c r="C1091" i="1"/>
  <c r="D1091" i="1"/>
  <c r="E1091" i="1"/>
  <c r="F1091" i="1"/>
  <c r="G1091" i="1"/>
  <c r="H1091" i="1"/>
  <c r="I1091" i="1"/>
  <c r="C1092" i="1"/>
  <c r="D1092" i="1"/>
  <c r="E1092" i="1"/>
  <c r="F1092" i="1"/>
  <c r="G1092" i="1"/>
  <c r="H1092" i="1"/>
  <c r="I1092" i="1"/>
  <c r="C1224" i="1"/>
  <c r="D1224" i="1"/>
  <c r="E1224" i="1"/>
  <c r="F1224" i="1"/>
  <c r="G1224" i="1"/>
  <c r="H1224" i="1"/>
  <c r="I1224" i="1"/>
  <c r="C1258" i="1"/>
  <c r="D1258" i="1"/>
  <c r="E1258" i="1"/>
  <c r="F1258" i="1"/>
  <c r="G1258" i="1"/>
  <c r="H1258" i="1"/>
  <c r="I1258" i="1"/>
  <c r="C1364" i="1"/>
  <c r="D1364" i="1"/>
  <c r="E1364" i="1"/>
  <c r="F1364" i="1"/>
  <c r="G1364" i="1"/>
  <c r="H1364" i="1"/>
  <c r="I1364" i="1"/>
  <c r="C1520" i="1"/>
  <c r="D1520" i="1"/>
  <c r="E1520" i="1"/>
  <c r="F1520" i="1"/>
  <c r="G1520" i="1"/>
  <c r="H1520" i="1"/>
  <c r="I1520" i="1"/>
  <c r="C1500" i="1"/>
  <c r="D1500" i="1"/>
  <c r="E1500" i="1"/>
  <c r="F1500" i="1"/>
  <c r="G1500" i="1"/>
  <c r="H1500" i="1"/>
  <c r="I1500" i="1"/>
  <c r="C1647" i="1"/>
  <c r="D1647" i="1"/>
  <c r="E1647" i="1"/>
  <c r="F1647" i="1"/>
  <c r="G1647" i="1"/>
  <c r="H1647" i="1"/>
  <c r="I1647" i="1"/>
  <c r="C1666" i="1"/>
  <c r="D1666" i="1"/>
  <c r="E1666" i="1"/>
  <c r="F1666" i="1"/>
  <c r="G1666" i="1"/>
  <c r="H1666" i="1"/>
  <c r="I1666" i="1"/>
  <c r="C1648" i="1"/>
  <c r="D1648" i="1"/>
  <c r="E1648" i="1"/>
  <c r="F1648" i="1"/>
  <c r="G1648" i="1"/>
  <c r="H1648" i="1"/>
  <c r="I1648" i="1"/>
  <c r="C1649" i="1"/>
  <c r="D1649" i="1"/>
  <c r="E1649" i="1"/>
  <c r="F1649" i="1"/>
  <c r="G1649" i="1"/>
  <c r="H1649" i="1"/>
  <c r="I1649" i="1"/>
  <c r="C1650" i="1"/>
  <c r="D1650" i="1"/>
  <c r="E1650" i="1"/>
  <c r="F1650" i="1"/>
  <c r="G1650" i="1"/>
  <c r="H1650" i="1"/>
  <c r="I1650" i="1"/>
  <c r="C1807" i="1"/>
  <c r="D1807" i="1"/>
  <c r="E1807" i="1"/>
  <c r="F1807" i="1"/>
  <c r="G1807" i="1"/>
  <c r="H1807" i="1"/>
  <c r="I1807" i="1"/>
  <c r="C1808" i="1"/>
  <c r="D1808" i="1"/>
  <c r="E1808" i="1"/>
  <c r="F1808" i="1"/>
  <c r="G1808" i="1"/>
  <c r="H1808" i="1"/>
  <c r="I1808" i="1"/>
  <c r="C1938" i="1"/>
  <c r="D1938" i="1"/>
  <c r="E1938" i="1"/>
  <c r="F1938" i="1"/>
  <c r="G1938" i="1"/>
  <c r="H1938" i="1"/>
  <c r="I1938" i="1"/>
  <c r="C1920" i="1"/>
  <c r="D1920" i="1"/>
  <c r="E1920" i="1"/>
  <c r="F1920" i="1"/>
  <c r="G1920" i="1"/>
  <c r="H1920" i="1"/>
  <c r="I1920" i="1"/>
  <c r="C1921" i="1"/>
  <c r="D1921" i="1"/>
  <c r="E1921" i="1"/>
  <c r="F1921" i="1"/>
  <c r="G1921" i="1"/>
  <c r="H1921" i="1"/>
  <c r="I1921" i="1"/>
  <c r="C1946" i="1"/>
  <c r="D1946" i="1"/>
  <c r="E1946" i="1"/>
  <c r="F1946" i="1"/>
  <c r="G1946" i="1"/>
  <c r="H1946" i="1"/>
  <c r="I1946" i="1"/>
  <c r="C3124" i="1"/>
  <c r="D3124" i="1"/>
  <c r="E3124" i="1"/>
  <c r="F3124" i="1"/>
  <c r="G3124" i="1"/>
  <c r="H3124" i="1"/>
  <c r="I3124" i="1"/>
  <c r="C2065" i="1"/>
  <c r="D2065" i="1"/>
  <c r="E2065" i="1"/>
  <c r="F2065" i="1"/>
  <c r="G2065" i="1"/>
  <c r="H2065" i="1"/>
  <c r="I2065" i="1"/>
  <c r="C2046" i="1"/>
  <c r="D2046" i="1"/>
  <c r="E2046" i="1"/>
  <c r="F2046" i="1"/>
  <c r="G2046" i="1"/>
  <c r="H2046" i="1"/>
  <c r="I2046" i="1"/>
  <c r="C3061" i="1"/>
  <c r="D3061" i="1"/>
  <c r="E3061" i="1"/>
  <c r="F3061" i="1"/>
  <c r="G3061" i="1"/>
  <c r="H3061" i="1"/>
  <c r="I3061" i="1"/>
  <c r="C2077" i="1"/>
  <c r="D2077" i="1"/>
  <c r="E2077" i="1"/>
  <c r="F2077" i="1"/>
  <c r="G2077" i="1"/>
  <c r="H2077" i="1"/>
  <c r="I2077" i="1"/>
  <c r="C2170" i="1"/>
  <c r="D2170" i="1"/>
  <c r="E2170" i="1"/>
  <c r="F2170" i="1"/>
  <c r="G2170" i="1"/>
  <c r="H2170" i="1"/>
  <c r="I2170" i="1"/>
  <c r="C2193" i="1"/>
  <c r="D2193" i="1"/>
  <c r="E2193" i="1"/>
  <c r="F2193" i="1"/>
  <c r="G2193" i="1"/>
  <c r="H2193" i="1"/>
  <c r="I2193" i="1"/>
  <c r="C2171" i="1"/>
  <c r="D2171" i="1"/>
  <c r="E2171" i="1"/>
  <c r="F2171" i="1"/>
  <c r="G2171" i="1"/>
  <c r="H2171" i="1"/>
  <c r="I2171" i="1"/>
  <c r="C2172" i="1"/>
  <c r="D2172" i="1"/>
  <c r="E2172" i="1"/>
  <c r="F2172" i="1"/>
  <c r="G2172" i="1"/>
  <c r="H2172" i="1"/>
  <c r="I2172" i="1"/>
  <c r="C2306" i="1"/>
  <c r="D2306" i="1"/>
  <c r="E2306" i="1"/>
  <c r="F2306" i="1"/>
  <c r="G2306" i="1"/>
  <c r="H2306" i="1"/>
  <c r="I2306" i="1"/>
  <c r="C2426" i="1"/>
  <c r="D2426" i="1"/>
  <c r="E2426" i="1"/>
  <c r="F2426" i="1"/>
  <c r="G2426" i="1"/>
  <c r="H2426" i="1"/>
  <c r="I2426" i="1"/>
  <c r="C2427" i="1"/>
  <c r="D2427" i="1"/>
  <c r="E2427" i="1"/>
  <c r="F2427" i="1"/>
  <c r="G2427" i="1"/>
  <c r="H2427" i="1"/>
  <c r="I2427" i="1"/>
  <c r="C2545" i="1"/>
  <c r="D2545" i="1"/>
  <c r="E2545" i="1"/>
  <c r="F2545" i="1"/>
  <c r="G2545" i="1"/>
  <c r="H2545" i="1"/>
  <c r="I2545" i="1"/>
  <c r="C2546" i="1"/>
  <c r="D2546" i="1"/>
  <c r="E2546" i="1"/>
  <c r="F2546" i="1"/>
  <c r="G2546" i="1"/>
  <c r="H2546" i="1"/>
  <c r="I2546" i="1"/>
  <c r="C2547" i="1"/>
  <c r="D2547" i="1"/>
  <c r="E2547" i="1"/>
  <c r="F2547" i="1"/>
  <c r="G2547" i="1"/>
  <c r="H2547" i="1"/>
  <c r="I2547" i="1"/>
  <c r="C2657" i="1"/>
  <c r="D2657" i="1"/>
  <c r="E2657" i="1"/>
  <c r="F2657" i="1"/>
  <c r="G2657" i="1"/>
  <c r="H2657" i="1"/>
  <c r="I2657" i="1"/>
  <c r="C3524" i="1"/>
  <c r="D3524" i="1"/>
  <c r="E3524" i="1"/>
  <c r="F3524" i="1"/>
  <c r="G3524" i="1"/>
  <c r="H3524" i="1"/>
  <c r="I3524" i="1"/>
  <c r="C2658" i="1"/>
  <c r="D2658" i="1"/>
  <c r="E2658" i="1"/>
  <c r="F2658" i="1"/>
  <c r="G2658" i="1"/>
  <c r="H2658" i="1"/>
  <c r="I2658" i="1"/>
  <c r="C2659" i="1"/>
  <c r="D2659" i="1"/>
  <c r="E2659" i="1"/>
  <c r="F2659" i="1"/>
  <c r="G2659" i="1"/>
  <c r="H2659" i="1"/>
  <c r="I2659" i="1"/>
  <c r="C2660" i="1"/>
  <c r="D2660" i="1"/>
  <c r="E2660" i="1"/>
  <c r="F2660" i="1"/>
  <c r="G2660" i="1"/>
  <c r="H2660" i="1"/>
  <c r="I2660" i="1"/>
  <c r="C2661" i="1"/>
  <c r="D2661" i="1"/>
  <c r="E2661" i="1"/>
  <c r="F2661" i="1"/>
  <c r="G2661" i="1"/>
  <c r="H2661" i="1"/>
  <c r="I2661" i="1"/>
  <c r="C2662" i="1"/>
  <c r="D2662" i="1"/>
  <c r="E2662" i="1"/>
  <c r="F2662" i="1"/>
  <c r="G2662" i="1"/>
  <c r="H2662" i="1"/>
  <c r="I2662" i="1"/>
  <c r="C2663" i="1"/>
  <c r="D2663" i="1"/>
  <c r="E2663" i="1"/>
  <c r="F2663" i="1"/>
  <c r="G2663" i="1"/>
  <c r="H2663" i="1"/>
  <c r="I2663" i="1"/>
  <c r="C2775" i="1"/>
  <c r="D2775" i="1"/>
  <c r="E2775" i="1"/>
  <c r="F2775" i="1"/>
  <c r="G2775" i="1"/>
  <c r="H2775" i="1"/>
  <c r="I2775" i="1"/>
  <c r="C2776" i="1"/>
  <c r="D2776" i="1"/>
  <c r="E2776" i="1"/>
  <c r="F2776" i="1"/>
  <c r="G2776" i="1"/>
  <c r="H2776" i="1"/>
  <c r="I2776" i="1"/>
  <c r="C2777" i="1"/>
  <c r="D2777" i="1"/>
  <c r="E2777" i="1"/>
  <c r="F2777" i="1"/>
  <c r="G2777" i="1"/>
  <c r="H2777" i="1"/>
  <c r="I2777" i="1"/>
  <c r="C2869" i="1"/>
  <c r="D2869" i="1"/>
  <c r="E2869" i="1"/>
  <c r="F2869" i="1"/>
  <c r="G2869" i="1"/>
  <c r="H2869" i="1"/>
  <c r="I2869" i="1"/>
  <c r="C2870" i="1"/>
  <c r="D2870" i="1"/>
  <c r="E2870" i="1"/>
  <c r="F2870" i="1"/>
  <c r="G2870" i="1"/>
  <c r="H2870" i="1"/>
  <c r="I2870" i="1"/>
  <c r="C2949" i="1"/>
  <c r="D2949" i="1"/>
  <c r="E2949" i="1"/>
  <c r="F2949" i="1"/>
  <c r="G2949" i="1"/>
  <c r="H2949" i="1"/>
  <c r="I2949" i="1"/>
  <c r="C3069" i="1"/>
  <c r="D3069" i="1"/>
  <c r="E3069" i="1"/>
  <c r="F3069" i="1"/>
  <c r="G3069" i="1"/>
  <c r="H3069" i="1"/>
  <c r="I3069" i="1"/>
  <c r="C3053" i="1"/>
  <c r="D3053" i="1"/>
  <c r="E3053" i="1"/>
  <c r="F3053" i="1"/>
  <c r="G3053" i="1"/>
  <c r="H3053" i="1"/>
  <c r="I3053" i="1"/>
  <c r="C3258" i="1"/>
  <c r="D3258" i="1"/>
  <c r="E3258" i="1"/>
  <c r="F3258" i="1"/>
  <c r="G3258" i="1"/>
  <c r="H3258" i="1"/>
  <c r="I3258" i="1"/>
  <c r="C3896" i="1"/>
  <c r="D3896" i="1"/>
  <c r="E3896" i="1"/>
  <c r="F3896" i="1"/>
  <c r="G3896" i="1"/>
  <c r="H3896" i="1"/>
  <c r="I3896" i="1"/>
  <c r="C3805" i="1"/>
  <c r="D3805" i="1"/>
  <c r="E3805" i="1"/>
  <c r="F3805" i="1"/>
  <c r="G3805" i="1"/>
  <c r="H3805" i="1"/>
  <c r="I3805" i="1"/>
  <c r="C2052" i="1"/>
  <c r="D2052" i="1"/>
  <c r="E2052" i="1"/>
  <c r="F2052" i="1"/>
  <c r="G2052" i="1"/>
  <c r="H2052" i="1"/>
  <c r="I2052" i="1"/>
  <c r="C2047" i="1"/>
  <c r="D2047" i="1"/>
  <c r="E2047" i="1"/>
  <c r="F2047" i="1"/>
  <c r="G2047" i="1"/>
  <c r="H2047" i="1"/>
  <c r="I2047" i="1"/>
  <c r="C2053" i="1"/>
  <c r="D2053" i="1"/>
  <c r="E2053" i="1"/>
  <c r="F2053" i="1"/>
  <c r="G2053" i="1"/>
  <c r="H2053" i="1"/>
  <c r="I2053" i="1"/>
  <c r="C3259" i="1"/>
  <c r="D3259" i="1"/>
  <c r="E3259" i="1"/>
  <c r="F3259" i="1"/>
  <c r="G3259" i="1"/>
  <c r="H3259" i="1"/>
  <c r="I3259" i="1"/>
  <c r="C2778" i="1"/>
  <c r="D2778" i="1"/>
  <c r="E2778" i="1"/>
  <c r="F2778" i="1"/>
  <c r="G2778" i="1"/>
  <c r="H2778" i="1"/>
  <c r="I2778" i="1"/>
  <c r="C2779" i="1"/>
  <c r="D2779" i="1"/>
  <c r="E2779" i="1"/>
  <c r="F2779" i="1"/>
  <c r="G2779" i="1"/>
  <c r="H2779" i="1"/>
  <c r="I2779" i="1"/>
  <c r="C1667" i="1"/>
  <c r="D1667" i="1"/>
  <c r="E1667" i="1"/>
  <c r="F1667" i="1"/>
  <c r="G1667" i="1"/>
  <c r="H1667" i="1"/>
  <c r="I1667" i="1"/>
  <c r="C3806" i="1"/>
  <c r="D3806" i="1"/>
  <c r="E3806" i="1"/>
  <c r="F3806" i="1"/>
  <c r="G3806" i="1"/>
  <c r="H3806" i="1"/>
  <c r="I3806" i="1"/>
  <c r="C4375" i="1"/>
  <c r="D4375" i="1"/>
  <c r="E4375" i="1"/>
  <c r="F4375" i="1"/>
  <c r="G4375" i="1"/>
  <c r="H4375" i="1"/>
  <c r="I4375" i="1"/>
  <c r="C2664" i="1"/>
  <c r="D2664" i="1"/>
  <c r="E2664" i="1"/>
  <c r="F2664" i="1"/>
  <c r="G2664" i="1"/>
  <c r="H2664" i="1"/>
  <c r="I2664" i="1"/>
  <c r="C3469" i="1"/>
  <c r="D3469" i="1"/>
  <c r="E3469" i="1"/>
  <c r="F3469" i="1"/>
  <c r="G3469" i="1"/>
  <c r="H3469" i="1"/>
  <c r="I3469" i="1"/>
  <c r="C4376" i="1"/>
  <c r="D4376" i="1"/>
  <c r="E4376" i="1"/>
  <c r="F4376" i="1"/>
  <c r="G4376" i="1"/>
  <c r="H4376" i="1"/>
  <c r="I4376" i="1"/>
  <c r="C4026" i="1"/>
  <c r="D4026" i="1"/>
  <c r="E4026" i="1"/>
  <c r="F4026" i="1"/>
  <c r="G4026" i="1"/>
  <c r="H4026" i="1"/>
  <c r="I4026" i="1"/>
  <c r="C1656" i="1"/>
  <c r="D1656" i="1"/>
  <c r="E1656" i="1"/>
  <c r="F1656" i="1"/>
  <c r="G1656" i="1"/>
  <c r="H1656" i="1"/>
  <c r="I1656" i="1"/>
  <c r="C1504" i="1"/>
  <c r="D1504" i="1"/>
  <c r="E1504" i="1"/>
  <c r="F1504" i="1"/>
  <c r="G1504" i="1"/>
  <c r="H1504" i="1"/>
  <c r="I1504" i="1"/>
  <c r="C1505" i="1"/>
  <c r="D1505" i="1"/>
  <c r="E1505" i="1"/>
  <c r="F1505" i="1"/>
  <c r="G1505" i="1"/>
  <c r="H1505" i="1"/>
  <c r="I1505" i="1"/>
  <c r="C4377" i="1"/>
  <c r="D4377" i="1"/>
  <c r="E4377" i="1"/>
  <c r="F4377" i="1"/>
  <c r="G4377" i="1"/>
  <c r="H4377" i="1"/>
  <c r="I4377" i="1"/>
  <c r="C3054" i="1"/>
  <c r="D3054" i="1"/>
  <c r="E3054" i="1"/>
  <c r="F3054" i="1"/>
  <c r="G3054" i="1"/>
  <c r="H3054" i="1"/>
  <c r="I3054" i="1"/>
  <c r="C3120" i="1"/>
  <c r="D3120" i="1"/>
  <c r="E3120" i="1"/>
  <c r="F3120" i="1"/>
  <c r="G3120" i="1"/>
  <c r="H3120" i="1"/>
  <c r="I3120" i="1"/>
  <c r="C2548" i="1"/>
  <c r="D2548" i="1"/>
  <c r="E2548" i="1"/>
  <c r="F2548" i="1"/>
  <c r="G2548" i="1"/>
  <c r="H2548" i="1"/>
  <c r="I2548" i="1"/>
  <c r="C960" i="1"/>
  <c r="D960" i="1"/>
  <c r="E960" i="1"/>
  <c r="F960" i="1"/>
  <c r="G960" i="1"/>
  <c r="H960" i="1"/>
  <c r="I960" i="1"/>
  <c r="C2871" i="1"/>
  <c r="D2871" i="1"/>
  <c r="E2871" i="1"/>
  <c r="F2871" i="1"/>
  <c r="G2871" i="1"/>
  <c r="H2871" i="1"/>
  <c r="I2871" i="1"/>
  <c r="C2978" i="1"/>
  <c r="D2978" i="1"/>
  <c r="E2978" i="1"/>
  <c r="F2978" i="1"/>
  <c r="G2978" i="1"/>
  <c r="H2978" i="1"/>
  <c r="I2978" i="1"/>
  <c r="C2950" i="1"/>
  <c r="D2950" i="1"/>
  <c r="E2950" i="1"/>
  <c r="F2950" i="1"/>
  <c r="G2950" i="1"/>
  <c r="H2950" i="1"/>
  <c r="I2950" i="1"/>
  <c r="C2872" i="1"/>
  <c r="D2872" i="1"/>
  <c r="E2872" i="1"/>
  <c r="F2872" i="1"/>
  <c r="G2872" i="1"/>
  <c r="H2872" i="1"/>
  <c r="I2872" i="1"/>
  <c r="C2979" i="1"/>
  <c r="D2979" i="1"/>
  <c r="E2979" i="1"/>
  <c r="F2979" i="1"/>
  <c r="G2979" i="1"/>
  <c r="H2979" i="1"/>
  <c r="I2979" i="1"/>
  <c r="C3055" i="1"/>
  <c r="D3055" i="1"/>
  <c r="E3055" i="1"/>
  <c r="F3055" i="1"/>
  <c r="G3055" i="1"/>
  <c r="H3055" i="1"/>
  <c r="I3055" i="1"/>
  <c r="C2951" i="1"/>
  <c r="D2951" i="1"/>
  <c r="E2951" i="1"/>
  <c r="F2951" i="1"/>
  <c r="G2951" i="1"/>
  <c r="H2951" i="1"/>
  <c r="I2951" i="1"/>
  <c r="C3056" i="1"/>
  <c r="D3056" i="1"/>
  <c r="E3056" i="1"/>
  <c r="F3056" i="1"/>
  <c r="G3056" i="1"/>
  <c r="H3056" i="1"/>
  <c r="I3056" i="1"/>
  <c r="C2665" i="1"/>
  <c r="D2665" i="1"/>
  <c r="E2665" i="1"/>
  <c r="F2665" i="1"/>
  <c r="G2665" i="1"/>
  <c r="H2665" i="1"/>
  <c r="I2665" i="1"/>
  <c r="C3057" i="1"/>
  <c r="D3057" i="1"/>
  <c r="E3057" i="1"/>
  <c r="F3057" i="1"/>
  <c r="G3057" i="1"/>
  <c r="H3057" i="1"/>
  <c r="I3057" i="1"/>
  <c r="C2666" i="1"/>
  <c r="D2666" i="1"/>
  <c r="E2666" i="1"/>
  <c r="F2666" i="1"/>
  <c r="G2666" i="1"/>
  <c r="H2666" i="1"/>
  <c r="I2666" i="1"/>
  <c r="C2780" i="1"/>
  <c r="D2780" i="1"/>
  <c r="E2780" i="1"/>
  <c r="F2780" i="1"/>
  <c r="G2780" i="1"/>
  <c r="H2780" i="1"/>
  <c r="I2780" i="1"/>
  <c r="C3260" i="1"/>
  <c r="D3260" i="1"/>
  <c r="E3260" i="1"/>
  <c r="F3260" i="1"/>
  <c r="G3260" i="1"/>
  <c r="H3260" i="1"/>
  <c r="I3260" i="1"/>
  <c r="C2873" i="1"/>
  <c r="D2873" i="1"/>
  <c r="E2873" i="1"/>
  <c r="F2873" i="1"/>
  <c r="G2873" i="1"/>
  <c r="H2873" i="1"/>
  <c r="I2873" i="1"/>
  <c r="C2173" i="1"/>
  <c r="D2173" i="1"/>
  <c r="E2173" i="1"/>
  <c r="F2173" i="1"/>
  <c r="G2173" i="1"/>
  <c r="H2173" i="1"/>
  <c r="I2173" i="1"/>
  <c r="C2174" i="1"/>
  <c r="D2174" i="1"/>
  <c r="E2174" i="1"/>
  <c r="F2174" i="1"/>
  <c r="G2174" i="1"/>
  <c r="H2174" i="1"/>
  <c r="I2174" i="1"/>
  <c r="C3931" i="1"/>
  <c r="D3931" i="1"/>
  <c r="E3931" i="1"/>
  <c r="F3931" i="1"/>
  <c r="G3931" i="1"/>
  <c r="H3931" i="1"/>
  <c r="I3931" i="1"/>
  <c r="C4172" i="1"/>
  <c r="D4172" i="1"/>
  <c r="E4172" i="1"/>
  <c r="F4172" i="1"/>
  <c r="G4172" i="1"/>
  <c r="H4172" i="1"/>
  <c r="I4172" i="1"/>
  <c r="C4173" i="1"/>
  <c r="D4173" i="1"/>
  <c r="E4173" i="1"/>
  <c r="F4173" i="1"/>
  <c r="G4173" i="1"/>
  <c r="H4173" i="1"/>
  <c r="I4173" i="1"/>
  <c r="C4177" i="1"/>
  <c r="D4177" i="1"/>
  <c r="E4177" i="1"/>
  <c r="F4177" i="1"/>
  <c r="G4177" i="1"/>
  <c r="H4177" i="1"/>
  <c r="I4177" i="1"/>
  <c r="C4198" i="1"/>
  <c r="D4198" i="1"/>
  <c r="E4198" i="1"/>
  <c r="F4198" i="1"/>
  <c r="G4198" i="1"/>
  <c r="H4198" i="1"/>
  <c r="I4198" i="1"/>
  <c r="C4199" i="1"/>
  <c r="D4199" i="1"/>
  <c r="E4199" i="1"/>
  <c r="F4199" i="1"/>
  <c r="G4199" i="1"/>
  <c r="H4199" i="1"/>
  <c r="I4199" i="1"/>
  <c r="C4185" i="1"/>
  <c r="D4185" i="1"/>
  <c r="E4185" i="1"/>
  <c r="F4185" i="1"/>
  <c r="G4185" i="1"/>
  <c r="H4185" i="1"/>
  <c r="I4185" i="1"/>
  <c r="C3694" i="1"/>
  <c r="D3694" i="1"/>
  <c r="E3694" i="1"/>
  <c r="F3694" i="1"/>
  <c r="G3694" i="1"/>
  <c r="H3694" i="1"/>
  <c r="I3694" i="1"/>
  <c r="C3853" i="1"/>
  <c r="D3853" i="1"/>
  <c r="E3853" i="1"/>
  <c r="F3853" i="1"/>
  <c r="G3853" i="1"/>
  <c r="H3853" i="1"/>
  <c r="I3853" i="1"/>
  <c r="C4027" i="1"/>
  <c r="D4027" i="1"/>
  <c r="E4027" i="1"/>
  <c r="F4027" i="1"/>
  <c r="G4027" i="1"/>
  <c r="H4027" i="1"/>
  <c r="I4027" i="1"/>
  <c r="C3854" i="1"/>
  <c r="D3854" i="1"/>
  <c r="E3854" i="1"/>
  <c r="F3854" i="1"/>
  <c r="G3854" i="1"/>
  <c r="H3854" i="1"/>
  <c r="I3854" i="1"/>
  <c r="C950" i="1"/>
  <c r="D950" i="1"/>
  <c r="E950" i="1"/>
  <c r="F950" i="1"/>
  <c r="G950" i="1"/>
  <c r="H950" i="1"/>
  <c r="I950" i="1"/>
  <c r="C4108" i="1"/>
  <c r="D4108" i="1"/>
  <c r="E4108" i="1"/>
  <c r="F4108" i="1"/>
  <c r="G4108" i="1"/>
  <c r="H4108" i="1"/>
  <c r="I4108" i="1"/>
  <c r="C2305" i="1"/>
  <c r="D2305" i="1"/>
  <c r="E2305" i="1"/>
  <c r="F2305" i="1"/>
  <c r="G2305" i="1"/>
  <c r="H2305" i="1"/>
  <c r="I2305" i="1"/>
  <c r="C2204" i="1"/>
  <c r="D2204" i="1"/>
  <c r="E2204" i="1"/>
  <c r="F2204" i="1"/>
  <c r="G2204" i="1"/>
  <c r="H2204" i="1"/>
  <c r="I2204" i="1"/>
  <c r="C1945" i="1"/>
  <c r="D1945" i="1"/>
  <c r="E1945" i="1"/>
  <c r="F1945" i="1"/>
  <c r="G1945" i="1"/>
  <c r="H1945" i="1"/>
  <c r="I1945" i="1"/>
  <c r="C2449" i="1"/>
  <c r="D2449" i="1"/>
  <c r="E2449" i="1"/>
  <c r="F2449" i="1"/>
  <c r="G2449" i="1"/>
  <c r="H2449" i="1"/>
  <c r="I2449" i="1"/>
  <c r="C1947" i="1"/>
  <c r="D1947" i="1"/>
  <c r="E1947" i="1"/>
  <c r="F1947" i="1"/>
  <c r="G1947" i="1"/>
  <c r="H1947" i="1"/>
  <c r="I1947" i="1"/>
  <c r="C2452" i="1"/>
  <c r="D2452" i="1"/>
  <c r="E2452" i="1"/>
  <c r="F2452" i="1"/>
  <c r="G2452" i="1"/>
  <c r="H2452" i="1"/>
  <c r="I2452" i="1"/>
  <c r="C2571" i="1"/>
  <c r="D2571" i="1"/>
  <c r="E2571" i="1"/>
  <c r="F2571" i="1"/>
  <c r="G2571" i="1"/>
  <c r="H2571" i="1"/>
  <c r="I2571" i="1"/>
  <c r="C3121" i="1"/>
  <c r="D3121" i="1"/>
  <c r="E3121" i="1"/>
  <c r="F3121" i="1"/>
  <c r="G3121" i="1"/>
  <c r="H3121" i="1"/>
  <c r="I3121" i="1"/>
  <c r="C2436" i="1"/>
  <c r="D2436" i="1"/>
  <c r="E2436" i="1"/>
  <c r="F2436" i="1"/>
  <c r="G2436" i="1"/>
  <c r="H2436" i="1"/>
  <c r="I2436" i="1"/>
  <c r="C2198" i="1"/>
  <c r="D2198" i="1"/>
  <c r="E2198" i="1"/>
  <c r="F2198" i="1"/>
  <c r="G2198" i="1"/>
  <c r="H2198" i="1"/>
  <c r="I2198" i="1"/>
  <c r="C2200" i="1"/>
  <c r="D2200" i="1"/>
  <c r="E2200" i="1"/>
  <c r="F2200" i="1"/>
  <c r="G2200" i="1"/>
  <c r="H2200" i="1"/>
  <c r="I2200" i="1"/>
  <c r="C2312" i="1"/>
  <c r="D2312" i="1"/>
  <c r="E2312" i="1"/>
  <c r="F2312" i="1"/>
  <c r="G2312" i="1"/>
  <c r="H2312" i="1"/>
  <c r="I2312" i="1"/>
  <c r="C697" i="1"/>
  <c r="D697" i="1"/>
  <c r="E697" i="1"/>
  <c r="F697" i="1"/>
  <c r="G697" i="1"/>
  <c r="H697" i="1"/>
  <c r="I697" i="1"/>
  <c r="C2202" i="1"/>
  <c r="D2202" i="1"/>
  <c r="E2202" i="1"/>
  <c r="F2202" i="1"/>
  <c r="G2202" i="1"/>
  <c r="H2202" i="1"/>
  <c r="I2202" i="1"/>
  <c r="C642" i="1"/>
  <c r="D642" i="1"/>
  <c r="E642" i="1"/>
  <c r="F642" i="1"/>
  <c r="G642" i="1"/>
  <c r="H642" i="1"/>
  <c r="I642" i="1"/>
  <c r="C2071" i="1"/>
  <c r="D2071" i="1"/>
  <c r="E2071" i="1"/>
  <c r="F2071" i="1"/>
  <c r="G2071" i="1"/>
  <c r="H2071" i="1"/>
  <c r="I2071" i="1"/>
  <c r="C2072" i="1"/>
  <c r="D2072" i="1"/>
  <c r="E2072" i="1"/>
  <c r="F2072" i="1"/>
  <c r="G2072" i="1"/>
  <c r="H2072" i="1"/>
  <c r="I2072" i="1"/>
  <c r="C2314" i="1"/>
  <c r="D2314" i="1"/>
  <c r="E2314" i="1"/>
  <c r="F2314" i="1"/>
  <c r="G2314" i="1"/>
  <c r="H2314" i="1"/>
  <c r="I2314" i="1"/>
  <c r="C643" i="1"/>
  <c r="D643" i="1"/>
  <c r="E643" i="1"/>
  <c r="F643" i="1"/>
  <c r="G643" i="1"/>
  <c r="H643" i="1"/>
  <c r="I643" i="1"/>
  <c r="C2175" i="1"/>
  <c r="D2175" i="1"/>
  <c r="E2175" i="1"/>
  <c r="F2175" i="1"/>
  <c r="G2175" i="1"/>
  <c r="H2175" i="1"/>
  <c r="I2175" i="1"/>
  <c r="C1501" i="1"/>
  <c r="D1501" i="1"/>
  <c r="E1501" i="1"/>
  <c r="F1501" i="1"/>
  <c r="G1501" i="1"/>
  <c r="H1501" i="1"/>
  <c r="I1501" i="1"/>
  <c r="C1225" i="1"/>
  <c r="D1225" i="1"/>
  <c r="E1225" i="1"/>
  <c r="F1225" i="1"/>
  <c r="G1225" i="1"/>
  <c r="H1225" i="1"/>
  <c r="I1225" i="1"/>
  <c r="C1093" i="1"/>
  <c r="D1093" i="1"/>
  <c r="E1093" i="1"/>
  <c r="F1093" i="1"/>
  <c r="G1093" i="1"/>
  <c r="H1093" i="1"/>
  <c r="I1093" i="1"/>
  <c r="C1365" i="1"/>
  <c r="D1365" i="1"/>
  <c r="E1365" i="1"/>
  <c r="F1365" i="1"/>
  <c r="G1365" i="1"/>
  <c r="H1365" i="1"/>
  <c r="I1365" i="1"/>
  <c r="C1651" i="1"/>
  <c r="D1651" i="1"/>
  <c r="E1651" i="1"/>
  <c r="F1651" i="1"/>
  <c r="G1651" i="1"/>
  <c r="H1651" i="1"/>
  <c r="I1651" i="1"/>
  <c r="C1794" i="1"/>
  <c r="D1794" i="1"/>
  <c r="E1794" i="1"/>
  <c r="F1794" i="1"/>
  <c r="G1794" i="1"/>
  <c r="H1794" i="1"/>
  <c r="I1794" i="1"/>
  <c r="C1652" i="1"/>
  <c r="D1652" i="1"/>
  <c r="E1652" i="1"/>
  <c r="F1652" i="1"/>
  <c r="G1652" i="1"/>
  <c r="H1652" i="1"/>
  <c r="I1652" i="1"/>
  <c r="C1226" i="1"/>
  <c r="D1226" i="1"/>
  <c r="E1226" i="1"/>
  <c r="F1226" i="1"/>
  <c r="G1226" i="1"/>
  <c r="H1226" i="1"/>
  <c r="I1226" i="1"/>
  <c r="C1366" i="1"/>
  <c r="D1366" i="1"/>
  <c r="E1366" i="1"/>
  <c r="F1366" i="1"/>
  <c r="G1366" i="1"/>
  <c r="H1366" i="1"/>
  <c r="I1366" i="1"/>
  <c r="C1227" i="1"/>
  <c r="D1227" i="1"/>
  <c r="E1227" i="1"/>
  <c r="F1227" i="1"/>
  <c r="G1227" i="1"/>
  <c r="H1227" i="1"/>
  <c r="I1227" i="1"/>
  <c r="C951" i="1"/>
  <c r="D951" i="1"/>
  <c r="E951" i="1"/>
  <c r="F951" i="1"/>
  <c r="G951" i="1"/>
  <c r="H951" i="1"/>
  <c r="I951" i="1"/>
  <c r="C1653" i="1"/>
  <c r="D1653" i="1"/>
  <c r="E1653" i="1"/>
  <c r="F1653" i="1"/>
  <c r="G1653" i="1"/>
  <c r="H1653" i="1"/>
  <c r="I1653" i="1"/>
  <c r="C312" i="1"/>
  <c r="D312" i="1"/>
  <c r="E312" i="1"/>
  <c r="F312" i="1"/>
  <c r="G312" i="1"/>
  <c r="H312" i="1"/>
  <c r="I312" i="1"/>
  <c r="C357" i="1"/>
  <c r="D357" i="1"/>
  <c r="E357" i="1"/>
  <c r="F357" i="1"/>
  <c r="G357" i="1"/>
  <c r="H357" i="1"/>
  <c r="I357" i="1"/>
  <c r="C4378" i="1"/>
  <c r="D4378" i="1"/>
  <c r="E4378" i="1"/>
  <c r="F4378" i="1"/>
  <c r="G4378" i="1"/>
  <c r="H4378" i="1"/>
  <c r="I4378" i="1"/>
  <c r="C2667" i="1"/>
  <c r="D2667" i="1"/>
  <c r="E2667" i="1"/>
  <c r="F2667" i="1"/>
  <c r="G2667" i="1"/>
  <c r="H2667" i="1"/>
  <c r="I2667" i="1"/>
  <c r="C2048" i="1"/>
  <c r="D2048" i="1"/>
  <c r="E2048" i="1"/>
  <c r="F2048" i="1"/>
  <c r="G2048" i="1"/>
  <c r="H2048" i="1"/>
  <c r="I2048" i="1"/>
  <c r="C2874" i="1"/>
  <c r="D2874" i="1"/>
  <c r="E2874" i="1"/>
  <c r="F2874" i="1"/>
  <c r="G2874" i="1"/>
  <c r="H2874" i="1"/>
  <c r="I2874" i="1"/>
  <c r="C2781" i="1"/>
  <c r="D2781" i="1"/>
  <c r="E2781" i="1"/>
  <c r="F2781" i="1"/>
  <c r="G2781" i="1"/>
  <c r="H2781" i="1"/>
  <c r="I2781" i="1"/>
  <c r="C2875" i="1"/>
  <c r="D2875" i="1"/>
  <c r="E2875" i="1"/>
  <c r="F2875" i="1"/>
  <c r="G2875" i="1"/>
  <c r="H2875" i="1"/>
  <c r="I2875" i="1"/>
  <c r="C3748" i="1"/>
  <c r="D3748" i="1"/>
  <c r="E3748" i="1"/>
  <c r="F3748" i="1"/>
  <c r="G3748" i="1"/>
  <c r="H3748" i="1"/>
  <c r="I3748" i="1"/>
  <c r="C4109" i="1"/>
  <c r="D4109" i="1"/>
  <c r="E4109" i="1"/>
  <c r="F4109" i="1"/>
  <c r="G4109" i="1"/>
  <c r="H4109" i="1"/>
  <c r="I4109" i="1"/>
  <c r="C3897" i="1"/>
  <c r="D3897" i="1"/>
  <c r="E3897" i="1"/>
  <c r="F3897" i="1"/>
  <c r="G3897" i="1"/>
  <c r="H3897" i="1"/>
  <c r="I3897" i="1"/>
  <c r="C1796" i="1"/>
  <c r="D1796" i="1"/>
  <c r="E1796" i="1"/>
  <c r="F1796" i="1"/>
  <c r="G1796" i="1"/>
  <c r="H1796" i="1"/>
  <c r="I1796" i="1"/>
  <c r="C1657" i="1"/>
  <c r="D1657" i="1"/>
  <c r="E1657" i="1"/>
  <c r="F1657" i="1"/>
  <c r="G1657" i="1"/>
  <c r="H1657" i="1"/>
  <c r="I1657" i="1"/>
  <c r="C1506" i="1"/>
  <c r="D1506" i="1"/>
  <c r="E1506" i="1"/>
  <c r="F1506" i="1"/>
  <c r="G1506" i="1"/>
  <c r="H1506" i="1"/>
  <c r="I1506" i="1"/>
  <c r="C2294" i="1"/>
  <c r="D2294" i="1"/>
  <c r="E2294" i="1"/>
  <c r="F2294" i="1"/>
  <c r="G2294" i="1"/>
  <c r="H2294" i="1"/>
  <c r="I2294" i="1"/>
  <c r="C2876" i="1"/>
  <c r="D2876" i="1"/>
  <c r="E2876" i="1"/>
  <c r="F2876" i="1"/>
  <c r="G2876" i="1"/>
  <c r="H2876" i="1"/>
  <c r="I2876" i="1"/>
  <c r="C1242" i="1"/>
  <c r="D1242" i="1"/>
  <c r="E1242" i="1"/>
  <c r="F1242" i="1"/>
  <c r="G1242" i="1"/>
  <c r="H1242" i="1"/>
  <c r="I1242" i="1"/>
  <c r="C2428" i="1"/>
  <c r="D2428" i="1"/>
  <c r="E2428" i="1"/>
  <c r="F2428" i="1"/>
  <c r="G2428" i="1"/>
  <c r="H2428" i="1"/>
  <c r="I2428" i="1"/>
  <c r="C3647" i="1"/>
  <c r="D3647" i="1"/>
  <c r="E3647" i="1"/>
  <c r="F3647" i="1"/>
  <c r="G3647" i="1"/>
  <c r="H3647" i="1"/>
  <c r="I3647" i="1"/>
  <c r="C4110" i="1"/>
  <c r="D4110" i="1"/>
  <c r="E4110" i="1"/>
  <c r="F4110" i="1"/>
  <c r="G4110" i="1"/>
  <c r="H4110" i="1"/>
  <c r="I4110" i="1"/>
  <c r="C400" i="1"/>
  <c r="D400" i="1"/>
  <c r="E400" i="1"/>
  <c r="F400" i="1"/>
  <c r="G400" i="1"/>
  <c r="H400" i="1"/>
  <c r="I400" i="1"/>
  <c r="C454" i="1"/>
  <c r="D454" i="1"/>
  <c r="E454" i="1"/>
  <c r="F454" i="1"/>
  <c r="G454" i="1"/>
  <c r="H454" i="1"/>
  <c r="I454" i="1"/>
  <c r="C2429" i="1"/>
  <c r="D2429" i="1"/>
  <c r="E2429" i="1"/>
  <c r="F2429" i="1"/>
  <c r="G2429" i="1"/>
  <c r="H2429" i="1"/>
  <c r="I2429" i="1"/>
  <c r="C2782" i="1"/>
  <c r="D2782" i="1"/>
  <c r="E2782" i="1"/>
  <c r="F2782" i="1"/>
  <c r="G2782" i="1"/>
  <c r="H2782" i="1"/>
  <c r="I2782" i="1"/>
  <c r="C2783" i="1"/>
  <c r="D2783" i="1"/>
  <c r="E2783" i="1"/>
  <c r="F2783" i="1"/>
  <c r="G2783" i="1"/>
  <c r="H2783" i="1"/>
  <c r="I2783" i="1"/>
  <c r="C3058" i="1"/>
  <c r="D3058" i="1"/>
  <c r="E3058" i="1"/>
  <c r="F3058" i="1"/>
  <c r="G3058" i="1"/>
  <c r="H3058" i="1"/>
  <c r="I3058" i="1"/>
  <c r="C4379" i="1"/>
  <c r="D4379" i="1"/>
  <c r="E4379" i="1"/>
  <c r="F4379" i="1"/>
  <c r="G4379" i="1"/>
  <c r="H4379" i="1"/>
  <c r="I4379" i="1"/>
  <c r="C2049" i="1"/>
  <c r="D2049" i="1"/>
  <c r="E2049" i="1"/>
  <c r="F2049" i="1"/>
  <c r="G2049" i="1"/>
  <c r="H2049" i="1"/>
  <c r="I2049" i="1"/>
  <c r="C313" i="1"/>
  <c r="D313" i="1"/>
  <c r="E313" i="1"/>
  <c r="F313" i="1"/>
  <c r="G313" i="1"/>
  <c r="H313" i="1"/>
  <c r="I313" i="1"/>
  <c r="C574" i="1"/>
  <c r="D574" i="1"/>
  <c r="E574" i="1"/>
  <c r="F574" i="1"/>
  <c r="G574" i="1"/>
  <c r="H574" i="1"/>
  <c r="I574" i="1"/>
  <c r="C397" i="1"/>
  <c r="D397" i="1"/>
  <c r="E397" i="1"/>
  <c r="F397" i="1"/>
  <c r="G397" i="1"/>
  <c r="H397" i="1"/>
  <c r="I397" i="1"/>
  <c r="C1228" i="1"/>
  <c r="D1228" i="1"/>
  <c r="E1228" i="1"/>
  <c r="F1228" i="1"/>
  <c r="G1228" i="1"/>
  <c r="H1228" i="1"/>
  <c r="I1228" i="1"/>
  <c r="C1229" i="1"/>
  <c r="D1229" i="1"/>
  <c r="E1229" i="1"/>
  <c r="F1229" i="1"/>
  <c r="G1229" i="1"/>
  <c r="H1229" i="1"/>
  <c r="I1229" i="1"/>
  <c r="C514" i="1"/>
  <c r="D514" i="1"/>
  <c r="E514" i="1"/>
  <c r="F514" i="1"/>
  <c r="G514" i="1"/>
  <c r="H514" i="1"/>
  <c r="I514" i="1"/>
  <c r="C647" i="1"/>
  <c r="D647" i="1"/>
  <c r="E647" i="1"/>
  <c r="F647" i="1"/>
  <c r="G647" i="1"/>
  <c r="H647" i="1"/>
  <c r="I647" i="1"/>
  <c r="C4380" i="1"/>
  <c r="D4380" i="1"/>
  <c r="E4380" i="1"/>
  <c r="F4380" i="1"/>
  <c r="G4380" i="1"/>
  <c r="H4380" i="1"/>
  <c r="I4380" i="1"/>
  <c r="C456" i="1"/>
  <c r="D456" i="1"/>
  <c r="E456" i="1"/>
  <c r="F456" i="1"/>
  <c r="G456" i="1"/>
  <c r="H456" i="1"/>
  <c r="I456" i="1"/>
  <c r="C1923" i="1"/>
  <c r="D1923" i="1"/>
  <c r="E1923" i="1"/>
  <c r="F1923" i="1"/>
  <c r="G1923" i="1"/>
  <c r="H1923" i="1"/>
  <c r="I1923" i="1"/>
  <c r="C44" i="1"/>
  <c r="D44" i="1"/>
  <c r="E44" i="1"/>
  <c r="F44" i="1"/>
  <c r="G44" i="1"/>
  <c r="H44" i="1"/>
  <c r="I44" i="1"/>
  <c r="C20" i="1"/>
  <c r="D20" i="1"/>
  <c r="E20" i="1"/>
  <c r="F20" i="1"/>
  <c r="G20" i="1"/>
  <c r="H20" i="1"/>
  <c r="I20" i="1"/>
  <c r="C270" i="1"/>
  <c r="D270" i="1"/>
  <c r="E270" i="1"/>
  <c r="F270" i="1"/>
  <c r="G270" i="1"/>
  <c r="H270" i="1"/>
  <c r="I270" i="1"/>
  <c r="C85" i="1"/>
  <c r="D85" i="1"/>
  <c r="E85" i="1"/>
  <c r="F85" i="1"/>
  <c r="G85" i="1"/>
  <c r="H85" i="1"/>
  <c r="I85" i="1"/>
  <c r="C86" i="1"/>
  <c r="D86" i="1"/>
  <c r="E86" i="1"/>
  <c r="F86" i="1"/>
  <c r="G86" i="1"/>
  <c r="H86" i="1"/>
  <c r="I86" i="1"/>
  <c r="C271" i="1"/>
  <c r="D271" i="1"/>
  <c r="E271" i="1"/>
  <c r="F271" i="1"/>
  <c r="G271" i="1"/>
  <c r="H271" i="1"/>
  <c r="I271" i="1"/>
  <c r="C233" i="1"/>
  <c r="D233" i="1"/>
  <c r="E233" i="1"/>
  <c r="F233" i="1"/>
  <c r="G233" i="1"/>
  <c r="H233" i="1"/>
  <c r="I233" i="1"/>
  <c r="C267" i="1"/>
  <c r="D267" i="1"/>
  <c r="E267" i="1"/>
  <c r="F267" i="1"/>
  <c r="G267" i="1"/>
  <c r="H267" i="1"/>
  <c r="I267" i="1"/>
  <c r="C268" i="1"/>
  <c r="D268" i="1"/>
  <c r="E268" i="1"/>
  <c r="F268" i="1"/>
  <c r="G268" i="1"/>
  <c r="H268" i="1"/>
  <c r="I268" i="1"/>
  <c r="C2669" i="1"/>
  <c r="D2669" i="1"/>
  <c r="E2669" i="1"/>
  <c r="F2669" i="1"/>
  <c r="G2669" i="1"/>
  <c r="H2669" i="1"/>
  <c r="I2669" i="1"/>
  <c r="C358" i="1"/>
  <c r="D358" i="1"/>
  <c r="E358" i="1"/>
  <c r="F358" i="1"/>
  <c r="G358" i="1"/>
  <c r="H358" i="1"/>
  <c r="I358" i="1"/>
  <c r="C2054" i="1"/>
  <c r="D2054" i="1"/>
  <c r="E2054" i="1"/>
  <c r="F2054" i="1"/>
  <c r="G2054" i="1"/>
  <c r="H2054" i="1"/>
  <c r="I2054" i="1"/>
  <c r="C401" i="1"/>
  <c r="D401" i="1"/>
  <c r="E401" i="1"/>
  <c r="F401" i="1"/>
  <c r="G401" i="1"/>
  <c r="H401" i="1"/>
  <c r="I401" i="1"/>
  <c r="C402" i="1"/>
  <c r="D402" i="1"/>
  <c r="E402" i="1"/>
  <c r="F402" i="1"/>
  <c r="G402" i="1"/>
  <c r="H402" i="1"/>
  <c r="I402" i="1"/>
  <c r="C516" i="1"/>
  <c r="D516" i="1"/>
  <c r="E516" i="1"/>
  <c r="F516" i="1"/>
  <c r="G516" i="1"/>
  <c r="H516" i="1"/>
  <c r="I516" i="1"/>
  <c r="C3529" i="1"/>
  <c r="D3529" i="1"/>
  <c r="E3529" i="1"/>
  <c r="F3529" i="1"/>
  <c r="G3529" i="1"/>
  <c r="H3529" i="1"/>
  <c r="I3529" i="1"/>
  <c r="C1095" i="1"/>
  <c r="D1095" i="1"/>
  <c r="E1095" i="1"/>
  <c r="F1095" i="1"/>
  <c r="G1095" i="1"/>
  <c r="H1095" i="1"/>
  <c r="I1095" i="1"/>
  <c r="C1231" i="1"/>
  <c r="D1231" i="1"/>
  <c r="E1231" i="1"/>
  <c r="F1231" i="1"/>
  <c r="G1231" i="1"/>
  <c r="H1231" i="1"/>
  <c r="I1231" i="1"/>
  <c r="C1370" i="1"/>
  <c r="D1370" i="1"/>
  <c r="E1370" i="1"/>
  <c r="F1370" i="1"/>
  <c r="G1370" i="1"/>
  <c r="H1370" i="1"/>
  <c r="I1370" i="1"/>
  <c r="C4381" i="1"/>
  <c r="D4381" i="1"/>
  <c r="E4381" i="1"/>
  <c r="F4381" i="1"/>
  <c r="G4381" i="1"/>
  <c r="H4381" i="1"/>
  <c r="I4381" i="1"/>
  <c r="C4382" i="1"/>
  <c r="D4382" i="1"/>
  <c r="E4382" i="1"/>
  <c r="F4382" i="1"/>
  <c r="G4382" i="1"/>
  <c r="H4382" i="1"/>
  <c r="I4382" i="1"/>
  <c r="C4089" i="1"/>
  <c r="D4089" i="1"/>
  <c r="E4089" i="1"/>
  <c r="F4089" i="1"/>
  <c r="G4089" i="1"/>
  <c r="H4089" i="1"/>
  <c r="I4089" i="1"/>
  <c r="C2295" i="1"/>
  <c r="D2295" i="1"/>
  <c r="E2295" i="1"/>
  <c r="F2295" i="1"/>
  <c r="G2295" i="1"/>
  <c r="H2295" i="1"/>
  <c r="I2295" i="1"/>
  <c r="C2055" i="1"/>
  <c r="D2055" i="1"/>
  <c r="E2055" i="1"/>
  <c r="F2055" i="1"/>
  <c r="G2055" i="1"/>
  <c r="H2055" i="1"/>
  <c r="I2055" i="1"/>
  <c r="C2431" i="1"/>
  <c r="D2431" i="1"/>
  <c r="E2431" i="1"/>
  <c r="F2431" i="1"/>
  <c r="G2431" i="1"/>
  <c r="H2431" i="1"/>
  <c r="I2431" i="1"/>
  <c r="C2432" i="1"/>
  <c r="D2432" i="1"/>
  <c r="E2432" i="1"/>
  <c r="F2432" i="1"/>
  <c r="G2432" i="1"/>
  <c r="H2432" i="1"/>
  <c r="I2432" i="1"/>
  <c r="C2879" i="1"/>
  <c r="D2879" i="1"/>
  <c r="E2879" i="1"/>
  <c r="F2879" i="1"/>
  <c r="G2879" i="1"/>
  <c r="H2879" i="1"/>
  <c r="I2879" i="1"/>
  <c r="C2980" i="1"/>
  <c r="D2980" i="1"/>
  <c r="E2980" i="1"/>
  <c r="F2980" i="1"/>
  <c r="G2980" i="1"/>
  <c r="H2980" i="1"/>
  <c r="I2980" i="1"/>
  <c r="C4383" i="1"/>
  <c r="D4383" i="1"/>
  <c r="E4383" i="1"/>
  <c r="F4383" i="1"/>
  <c r="G4383" i="1"/>
  <c r="H4383" i="1"/>
  <c r="I4383" i="1"/>
  <c r="C3473" i="1"/>
  <c r="D3473" i="1"/>
  <c r="E3473" i="1"/>
  <c r="F3473" i="1"/>
  <c r="G3473" i="1"/>
  <c r="H3473" i="1"/>
  <c r="I3473" i="1"/>
  <c r="C4384" i="1"/>
  <c r="D4384" i="1"/>
  <c r="E4384" i="1"/>
  <c r="F4384" i="1"/>
  <c r="G4384" i="1"/>
  <c r="H4384" i="1"/>
  <c r="I4384" i="1"/>
  <c r="C4385" i="1"/>
  <c r="D4385" i="1"/>
  <c r="E4385" i="1"/>
  <c r="F4385" i="1"/>
  <c r="G4385" i="1"/>
  <c r="H4385" i="1"/>
  <c r="I4385" i="1"/>
  <c r="C4386" i="1"/>
  <c r="D4386" i="1"/>
  <c r="E4386" i="1"/>
  <c r="F4386" i="1"/>
  <c r="G4386" i="1"/>
  <c r="H4386" i="1"/>
  <c r="I4386" i="1"/>
  <c r="C4387" i="1"/>
  <c r="D4387" i="1"/>
  <c r="E4387" i="1"/>
  <c r="F4387" i="1"/>
  <c r="G4387" i="1"/>
  <c r="H4387" i="1"/>
  <c r="I4387" i="1"/>
  <c r="C3966" i="1"/>
  <c r="D3966" i="1"/>
  <c r="E3966" i="1"/>
  <c r="F3966" i="1"/>
  <c r="G3966" i="1"/>
  <c r="H3966" i="1"/>
  <c r="I3966" i="1"/>
  <c r="C4388" i="1"/>
  <c r="D4388" i="1"/>
  <c r="E4388" i="1"/>
  <c r="F4388" i="1"/>
  <c r="G4388" i="1"/>
  <c r="H4388" i="1"/>
  <c r="I4388" i="1"/>
  <c r="C4389" i="1"/>
  <c r="D4389" i="1"/>
  <c r="E4389" i="1"/>
  <c r="F4389" i="1"/>
  <c r="G4389" i="1"/>
  <c r="H4389" i="1"/>
  <c r="I4389" i="1"/>
  <c r="C4390" i="1"/>
  <c r="D4390" i="1"/>
  <c r="E4390" i="1"/>
  <c r="F4390" i="1"/>
  <c r="G4390" i="1"/>
  <c r="H4390" i="1"/>
  <c r="I4390" i="1"/>
  <c r="C4391" i="1"/>
  <c r="D4391" i="1"/>
  <c r="E4391" i="1"/>
  <c r="F4391" i="1"/>
  <c r="G4391" i="1"/>
  <c r="H4391" i="1"/>
  <c r="I4391" i="1"/>
  <c r="C4392" i="1"/>
  <c r="D4392" i="1"/>
  <c r="E4392" i="1"/>
  <c r="F4392" i="1"/>
  <c r="G4392" i="1"/>
  <c r="H4392" i="1"/>
  <c r="I4392" i="1"/>
  <c r="C398" i="1"/>
  <c r="D398" i="1"/>
  <c r="E398" i="1"/>
  <c r="F398" i="1"/>
  <c r="G398" i="1"/>
  <c r="H398" i="1"/>
  <c r="I398" i="1"/>
  <c r="C4393" i="1"/>
  <c r="D4393" i="1"/>
  <c r="E4393" i="1"/>
  <c r="F4393" i="1"/>
  <c r="G4393" i="1"/>
  <c r="H4393" i="1"/>
  <c r="I4393" i="1"/>
  <c r="C3125" i="1"/>
  <c r="D3125" i="1"/>
  <c r="E3125" i="1"/>
  <c r="F3125" i="1"/>
  <c r="G3125" i="1"/>
  <c r="H3125" i="1"/>
  <c r="I3125" i="1"/>
  <c r="C2670" i="1"/>
  <c r="D2670" i="1"/>
  <c r="E2670" i="1"/>
  <c r="F2670" i="1"/>
  <c r="G2670" i="1"/>
  <c r="H2670" i="1"/>
  <c r="I2670" i="1"/>
  <c r="C4394" i="1"/>
  <c r="D4394" i="1"/>
  <c r="E4394" i="1"/>
  <c r="F4394" i="1"/>
  <c r="G4394" i="1"/>
  <c r="H4394" i="1"/>
  <c r="I4394" i="1"/>
  <c r="C2433" i="1"/>
  <c r="D2433" i="1"/>
  <c r="E2433" i="1"/>
  <c r="F2433" i="1"/>
  <c r="G2433" i="1"/>
  <c r="H2433" i="1"/>
  <c r="I2433" i="1"/>
  <c r="C2981" i="1"/>
  <c r="D2981" i="1"/>
  <c r="E2981" i="1"/>
  <c r="F2981" i="1"/>
  <c r="G2981" i="1"/>
  <c r="H2981" i="1"/>
  <c r="I2981" i="1"/>
  <c r="C4395" i="1"/>
  <c r="D4395" i="1"/>
  <c r="E4395" i="1"/>
  <c r="F4395" i="1"/>
  <c r="G4395" i="1"/>
  <c r="H4395" i="1"/>
  <c r="I4395" i="1"/>
  <c r="C4396" i="1"/>
  <c r="D4396" i="1"/>
  <c r="E4396" i="1"/>
  <c r="F4396" i="1"/>
  <c r="G4396" i="1"/>
  <c r="H4396" i="1"/>
  <c r="I4396" i="1"/>
  <c r="C2671" i="1"/>
  <c r="D2671" i="1"/>
  <c r="E2671" i="1"/>
  <c r="F2671" i="1"/>
  <c r="G2671" i="1"/>
  <c r="H2671" i="1"/>
  <c r="I2671" i="1"/>
  <c r="C2176" i="1"/>
  <c r="D2176" i="1"/>
  <c r="E2176" i="1"/>
  <c r="F2176" i="1"/>
  <c r="G2176" i="1"/>
  <c r="H2176" i="1"/>
  <c r="I2176" i="1"/>
  <c r="C2050" i="1"/>
  <c r="D2050" i="1"/>
  <c r="E2050" i="1"/>
  <c r="F2050" i="1"/>
  <c r="G2050" i="1"/>
  <c r="H2050" i="1"/>
  <c r="I2050" i="1"/>
  <c r="C569" i="1"/>
  <c r="D569" i="1"/>
  <c r="E569" i="1"/>
  <c r="F569" i="1"/>
  <c r="G569" i="1"/>
  <c r="H569" i="1"/>
  <c r="I569" i="1"/>
  <c r="C570" i="1"/>
  <c r="D570" i="1"/>
  <c r="E570" i="1"/>
  <c r="F570" i="1"/>
  <c r="G570" i="1"/>
  <c r="H570" i="1"/>
  <c r="I570" i="1"/>
  <c r="C571" i="1"/>
  <c r="D571" i="1"/>
  <c r="E571" i="1"/>
  <c r="F571" i="1"/>
  <c r="G571" i="1"/>
  <c r="H571" i="1"/>
  <c r="I571" i="1"/>
  <c r="C572" i="1"/>
  <c r="D572" i="1"/>
  <c r="E572" i="1"/>
  <c r="F572" i="1"/>
  <c r="G572" i="1"/>
  <c r="H572" i="1"/>
  <c r="I572" i="1"/>
  <c r="C644" i="1"/>
  <c r="D644" i="1"/>
  <c r="E644" i="1"/>
  <c r="F644" i="1"/>
  <c r="G644" i="1"/>
  <c r="H644" i="1"/>
  <c r="I644" i="1"/>
  <c r="C3474" i="1"/>
  <c r="D3474" i="1"/>
  <c r="E3474" i="1"/>
  <c r="F3474" i="1"/>
  <c r="G3474" i="1"/>
  <c r="H3474" i="1"/>
  <c r="I3474" i="1"/>
  <c r="C645" i="1"/>
  <c r="D645" i="1"/>
  <c r="E645" i="1"/>
  <c r="F645" i="1"/>
  <c r="G645" i="1"/>
  <c r="H645" i="1"/>
  <c r="I645" i="1"/>
  <c r="C4241" i="1"/>
  <c r="D4241" i="1"/>
  <c r="E4241" i="1"/>
  <c r="F4241" i="1"/>
  <c r="G4241" i="1"/>
  <c r="H4241" i="1"/>
  <c r="I4241" i="1"/>
  <c r="C4397" i="1"/>
  <c r="D4397" i="1"/>
  <c r="E4397" i="1"/>
  <c r="F4397" i="1"/>
  <c r="G4397" i="1"/>
  <c r="H4397" i="1"/>
  <c r="I4397" i="1"/>
  <c r="C698" i="1"/>
  <c r="D698" i="1"/>
  <c r="E698" i="1"/>
  <c r="F698" i="1"/>
  <c r="G698" i="1"/>
  <c r="H698" i="1"/>
  <c r="I698" i="1"/>
  <c r="C699" i="1"/>
  <c r="D699" i="1"/>
  <c r="E699" i="1"/>
  <c r="F699" i="1"/>
  <c r="G699" i="1"/>
  <c r="H699" i="1"/>
  <c r="I699" i="1"/>
  <c r="C700" i="1"/>
  <c r="D700" i="1"/>
  <c r="E700" i="1"/>
  <c r="F700" i="1"/>
  <c r="G700" i="1"/>
  <c r="H700" i="1"/>
  <c r="I700" i="1"/>
  <c r="C3333" i="1"/>
  <c r="D3333" i="1"/>
  <c r="E3333" i="1"/>
  <c r="F3333" i="1"/>
  <c r="G3333" i="1"/>
  <c r="H3333" i="1"/>
  <c r="I3333" i="1"/>
  <c r="C749" i="1"/>
  <c r="D749" i="1"/>
  <c r="E749" i="1"/>
  <c r="F749" i="1"/>
  <c r="G749" i="1"/>
  <c r="H749" i="1"/>
  <c r="I749" i="1"/>
  <c r="C750" i="1"/>
  <c r="D750" i="1"/>
  <c r="E750" i="1"/>
  <c r="F750" i="1"/>
  <c r="G750" i="1"/>
  <c r="H750" i="1"/>
  <c r="I750" i="1"/>
  <c r="C751" i="1"/>
  <c r="D751" i="1"/>
  <c r="E751" i="1"/>
  <c r="F751" i="1"/>
  <c r="G751" i="1"/>
  <c r="H751" i="1"/>
  <c r="I751" i="1"/>
  <c r="C752" i="1"/>
  <c r="D752" i="1"/>
  <c r="E752" i="1"/>
  <c r="F752" i="1"/>
  <c r="G752" i="1"/>
  <c r="H752" i="1"/>
  <c r="I752" i="1"/>
  <c r="C2180" i="1"/>
  <c r="D2180" i="1"/>
  <c r="E2180" i="1"/>
  <c r="F2180" i="1"/>
  <c r="G2180" i="1"/>
  <c r="H2180" i="1"/>
  <c r="I2180" i="1"/>
  <c r="C824" i="1"/>
  <c r="D824" i="1"/>
  <c r="E824" i="1"/>
  <c r="F824" i="1"/>
  <c r="G824" i="1"/>
  <c r="H824" i="1"/>
  <c r="I824" i="1"/>
  <c r="C952" i="1"/>
  <c r="D952" i="1"/>
  <c r="E952" i="1"/>
  <c r="F952" i="1"/>
  <c r="G952" i="1"/>
  <c r="H952" i="1"/>
  <c r="I952" i="1"/>
  <c r="C953" i="1"/>
  <c r="D953" i="1"/>
  <c r="E953" i="1"/>
  <c r="F953" i="1"/>
  <c r="G953" i="1"/>
  <c r="H953" i="1"/>
  <c r="I953" i="1"/>
  <c r="C954" i="1"/>
  <c r="D954" i="1"/>
  <c r="E954" i="1"/>
  <c r="F954" i="1"/>
  <c r="G954" i="1"/>
  <c r="H954" i="1"/>
  <c r="I954" i="1"/>
  <c r="C2672" i="1"/>
  <c r="D2672" i="1"/>
  <c r="E2672" i="1"/>
  <c r="F2672" i="1"/>
  <c r="G2672" i="1"/>
  <c r="H2672" i="1"/>
  <c r="I2672" i="1"/>
  <c r="C955" i="1"/>
  <c r="D955" i="1"/>
  <c r="E955" i="1"/>
  <c r="F955" i="1"/>
  <c r="G955" i="1"/>
  <c r="H955" i="1"/>
  <c r="I955" i="1"/>
  <c r="C956" i="1"/>
  <c r="D956" i="1"/>
  <c r="E956" i="1"/>
  <c r="F956" i="1"/>
  <c r="G956" i="1"/>
  <c r="H956" i="1"/>
  <c r="I956" i="1"/>
  <c r="C957" i="1"/>
  <c r="D957" i="1"/>
  <c r="E957" i="1"/>
  <c r="F957" i="1"/>
  <c r="G957" i="1"/>
  <c r="H957" i="1"/>
  <c r="I957" i="1"/>
  <c r="C1922" i="1"/>
  <c r="D1922" i="1"/>
  <c r="E1922" i="1"/>
  <c r="F1922" i="1"/>
  <c r="G1922" i="1"/>
  <c r="H1922" i="1"/>
  <c r="I1922" i="1"/>
  <c r="C753" i="1"/>
  <c r="D753" i="1"/>
  <c r="E753" i="1"/>
  <c r="F753" i="1"/>
  <c r="G753" i="1"/>
  <c r="H753" i="1"/>
  <c r="I753" i="1"/>
  <c r="C2056" i="1"/>
  <c r="D2056" i="1"/>
  <c r="E2056" i="1"/>
  <c r="F2056" i="1"/>
  <c r="G2056" i="1"/>
  <c r="H2056" i="1"/>
  <c r="I2056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234" i="1"/>
  <c r="D234" i="1"/>
  <c r="E234" i="1"/>
  <c r="F234" i="1"/>
  <c r="G234" i="1"/>
  <c r="H234" i="1"/>
  <c r="I234" i="1"/>
  <c r="C2177" i="1"/>
  <c r="D2177" i="1"/>
  <c r="E2177" i="1"/>
  <c r="F2177" i="1"/>
  <c r="G2177" i="1"/>
  <c r="H2177" i="1"/>
  <c r="I2177" i="1"/>
  <c r="C272" i="1"/>
  <c r="D272" i="1"/>
  <c r="E272" i="1"/>
  <c r="F272" i="1"/>
  <c r="G272" i="1"/>
  <c r="H272" i="1"/>
  <c r="I272" i="1"/>
  <c r="C273" i="1"/>
  <c r="D273" i="1"/>
  <c r="E273" i="1"/>
  <c r="F273" i="1"/>
  <c r="G273" i="1"/>
  <c r="H273" i="1"/>
  <c r="I273" i="1"/>
  <c r="C315" i="1"/>
  <c r="D315" i="1"/>
  <c r="E315" i="1"/>
  <c r="F315" i="1"/>
  <c r="G315" i="1"/>
  <c r="H315" i="1"/>
  <c r="I315" i="1"/>
  <c r="C403" i="1"/>
  <c r="D403" i="1"/>
  <c r="E403" i="1"/>
  <c r="F403" i="1"/>
  <c r="G403" i="1"/>
  <c r="H403" i="1"/>
  <c r="I403" i="1"/>
  <c r="C457" i="1"/>
  <c r="D457" i="1"/>
  <c r="E457" i="1"/>
  <c r="F457" i="1"/>
  <c r="G457" i="1"/>
  <c r="H457" i="1"/>
  <c r="I457" i="1"/>
  <c r="C458" i="1"/>
  <c r="D458" i="1"/>
  <c r="E458" i="1"/>
  <c r="F458" i="1"/>
  <c r="G458" i="1"/>
  <c r="H458" i="1"/>
  <c r="I458" i="1"/>
  <c r="C3583" i="1"/>
  <c r="D3583" i="1"/>
  <c r="E3583" i="1"/>
  <c r="F3583" i="1"/>
  <c r="G3583" i="1"/>
  <c r="H3583" i="1"/>
  <c r="I3583" i="1"/>
  <c r="C517" i="1"/>
  <c r="D517" i="1"/>
  <c r="E517" i="1"/>
  <c r="F517" i="1"/>
  <c r="G517" i="1"/>
  <c r="H517" i="1"/>
  <c r="I517" i="1"/>
  <c r="C648" i="1"/>
  <c r="D648" i="1"/>
  <c r="E648" i="1"/>
  <c r="F648" i="1"/>
  <c r="G648" i="1"/>
  <c r="H648" i="1"/>
  <c r="I648" i="1"/>
  <c r="C703" i="1"/>
  <c r="D703" i="1"/>
  <c r="E703" i="1"/>
  <c r="F703" i="1"/>
  <c r="G703" i="1"/>
  <c r="H703" i="1"/>
  <c r="I703" i="1"/>
  <c r="C704" i="1"/>
  <c r="D704" i="1"/>
  <c r="E704" i="1"/>
  <c r="F704" i="1"/>
  <c r="G704" i="1"/>
  <c r="H704" i="1"/>
  <c r="I704" i="1"/>
  <c r="C755" i="1"/>
  <c r="D755" i="1"/>
  <c r="E755" i="1"/>
  <c r="F755" i="1"/>
  <c r="G755" i="1"/>
  <c r="H755" i="1"/>
  <c r="I755" i="1"/>
  <c r="C756" i="1"/>
  <c r="D756" i="1"/>
  <c r="E756" i="1"/>
  <c r="F756" i="1"/>
  <c r="G756" i="1"/>
  <c r="H756" i="1"/>
  <c r="I756" i="1"/>
  <c r="C828" i="1"/>
  <c r="D828" i="1"/>
  <c r="E828" i="1"/>
  <c r="F828" i="1"/>
  <c r="G828" i="1"/>
  <c r="H828" i="1"/>
  <c r="I828" i="1"/>
  <c r="C825" i="1"/>
  <c r="D825" i="1"/>
  <c r="E825" i="1"/>
  <c r="F825" i="1"/>
  <c r="G825" i="1"/>
  <c r="H825" i="1"/>
  <c r="I825" i="1"/>
  <c r="C4286" i="1"/>
  <c r="D4286" i="1"/>
  <c r="E4286" i="1"/>
  <c r="F4286" i="1"/>
  <c r="G4286" i="1"/>
  <c r="H4286" i="1"/>
  <c r="I4286" i="1"/>
  <c r="C829" i="1"/>
  <c r="D829" i="1"/>
  <c r="E829" i="1"/>
  <c r="F829" i="1"/>
  <c r="G829" i="1"/>
  <c r="H829" i="1"/>
  <c r="I829" i="1"/>
  <c r="C961" i="1"/>
  <c r="D961" i="1"/>
  <c r="E961" i="1"/>
  <c r="F961" i="1"/>
  <c r="G961" i="1"/>
  <c r="H961" i="1"/>
  <c r="I961" i="1"/>
  <c r="C4283" i="1"/>
  <c r="D4283" i="1"/>
  <c r="E4283" i="1"/>
  <c r="F4283" i="1"/>
  <c r="G4283" i="1"/>
  <c r="H4283" i="1"/>
  <c r="I4283" i="1"/>
  <c r="C1232" i="1"/>
  <c r="D1232" i="1"/>
  <c r="E1232" i="1"/>
  <c r="F1232" i="1"/>
  <c r="G1232" i="1"/>
  <c r="H1232" i="1"/>
  <c r="I1232" i="1"/>
  <c r="C1233" i="1"/>
  <c r="D1233" i="1"/>
  <c r="E1233" i="1"/>
  <c r="F1233" i="1"/>
  <c r="G1233" i="1"/>
  <c r="H1233" i="1"/>
  <c r="I1233" i="1"/>
  <c r="C1371" i="1"/>
  <c r="D1371" i="1"/>
  <c r="E1371" i="1"/>
  <c r="F1371" i="1"/>
  <c r="G1371" i="1"/>
  <c r="H1371" i="1"/>
  <c r="I1371" i="1"/>
  <c r="C1372" i="1"/>
  <c r="D1372" i="1"/>
  <c r="E1372" i="1"/>
  <c r="F1372" i="1"/>
  <c r="G1372" i="1"/>
  <c r="H1372" i="1"/>
  <c r="I1372" i="1"/>
  <c r="C4277" i="1"/>
  <c r="D4277" i="1"/>
  <c r="E4277" i="1"/>
  <c r="F4277" i="1"/>
  <c r="G4277" i="1"/>
  <c r="H4277" i="1"/>
  <c r="I4277" i="1"/>
  <c r="C4276" i="1"/>
  <c r="D4276" i="1"/>
  <c r="E4276" i="1"/>
  <c r="F4276" i="1"/>
  <c r="G4276" i="1"/>
  <c r="H4276" i="1"/>
  <c r="I4276" i="1"/>
  <c r="C4275" i="1"/>
  <c r="D4275" i="1"/>
  <c r="E4275" i="1"/>
  <c r="F4275" i="1"/>
  <c r="G4275" i="1"/>
  <c r="H4275" i="1"/>
  <c r="I4275" i="1"/>
  <c r="C1658" i="1"/>
  <c r="D1658" i="1"/>
  <c r="E1658" i="1"/>
  <c r="F1658" i="1"/>
  <c r="G1658" i="1"/>
  <c r="H1658" i="1"/>
  <c r="I1658" i="1"/>
  <c r="C4273" i="1"/>
  <c r="D4273" i="1"/>
  <c r="E4273" i="1"/>
  <c r="F4273" i="1"/>
  <c r="G4273" i="1"/>
  <c r="H4273" i="1"/>
  <c r="I4273" i="1"/>
  <c r="C4272" i="1"/>
  <c r="D4272" i="1"/>
  <c r="E4272" i="1"/>
  <c r="F4272" i="1"/>
  <c r="G4272" i="1"/>
  <c r="H4272" i="1"/>
  <c r="I4272" i="1"/>
  <c r="C1797" i="1"/>
  <c r="D1797" i="1"/>
  <c r="E1797" i="1"/>
  <c r="F1797" i="1"/>
  <c r="G1797" i="1"/>
  <c r="H1797" i="1"/>
  <c r="I1797" i="1"/>
  <c r="C1924" i="1"/>
  <c r="D1924" i="1"/>
  <c r="E1924" i="1"/>
  <c r="F1924" i="1"/>
  <c r="G1924" i="1"/>
  <c r="H1924" i="1"/>
  <c r="I1924" i="1"/>
  <c r="C1925" i="1"/>
  <c r="D1925" i="1"/>
  <c r="E1925" i="1"/>
  <c r="F1925" i="1"/>
  <c r="G1925" i="1"/>
  <c r="H1925" i="1"/>
  <c r="I1925" i="1"/>
  <c r="C1926" i="1"/>
  <c r="D1926" i="1"/>
  <c r="E1926" i="1"/>
  <c r="F1926" i="1"/>
  <c r="G1926" i="1"/>
  <c r="H1926" i="1"/>
  <c r="I1926" i="1"/>
  <c r="C1927" i="1"/>
  <c r="D1927" i="1"/>
  <c r="E1927" i="1"/>
  <c r="F1927" i="1"/>
  <c r="G1927" i="1"/>
  <c r="H1927" i="1"/>
  <c r="I1927" i="1"/>
  <c r="C1928" i="1"/>
  <c r="D1928" i="1"/>
  <c r="E1928" i="1"/>
  <c r="F1928" i="1"/>
  <c r="G1928" i="1"/>
  <c r="H1928" i="1"/>
  <c r="I1928" i="1"/>
  <c r="C1929" i="1"/>
  <c r="D1929" i="1"/>
  <c r="E1929" i="1"/>
  <c r="F1929" i="1"/>
  <c r="G1929" i="1"/>
  <c r="H1929" i="1"/>
  <c r="I1929" i="1"/>
  <c r="C1930" i="1"/>
  <c r="D1930" i="1"/>
  <c r="E1930" i="1"/>
  <c r="F1930" i="1"/>
  <c r="G1930" i="1"/>
  <c r="H1930" i="1"/>
  <c r="I1930" i="1"/>
  <c r="C2057" i="1"/>
  <c r="D2057" i="1"/>
  <c r="E2057" i="1"/>
  <c r="F2057" i="1"/>
  <c r="G2057" i="1"/>
  <c r="H2057" i="1"/>
  <c r="I2057" i="1"/>
  <c r="C4254" i="1"/>
  <c r="D4254" i="1"/>
  <c r="E4254" i="1"/>
  <c r="F4254" i="1"/>
  <c r="G4254" i="1"/>
  <c r="H4254" i="1"/>
  <c r="I4254" i="1"/>
  <c r="C4253" i="1"/>
  <c r="D4253" i="1"/>
  <c r="E4253" i="1"/>
  <c r="F4253" i="1"/>
  <c r="G4253" i="1"/>
  <c r="H4253" i="1"/>
  <c r="I4253" i="1"/>
  <c r="C4252" i="1"/>
  <c r="D4252" i="1"/>
  <c r="E4252" i="1"/>
  <c r="F4252" i="1"/>
  <c r="G4252" i="1"/>
  <c r="H4252" i="1"/>
  <c r="I4252" i="1"/>
  <c r="C2058" i="1"/>
  <c r="D2058" i="1"/>
  <c r="E2058" i="1"/>
  <c r="F2058" i="1"/>
  <c r="G2058" i="1"/>
  <c r="H2058" i="1"/>
  <c r="I2058" i="1"/>
  <c r="C2059" i="1"/>
  <c r="D2059" i="1"/>
  <c r="E2059" i="1"/>
  <c r="F2059" i="1"/>
  <c r="G2059" i="1"/>
  <c r="H2059" i="1"/>
  <c r="I2059" i="1"/>
  <c r="C2181" i="1"/>
  <c r="D2181" i="1"/>
  <c r="E2181" i="1"/>
  <c r="F2181" i="1"/>
  <c r="G2181" i="1"/>
  <c r="H2181" i="1"/>
  <c r="I2181" i="1"/>
  <c r="C2182" i="1"/>
  <c r="D2182" i="1"/>
  <c r="E2182" i="1"/>
  <c r="F2182" i="1"/>
  <c r="G2182" i="1"/>
  <c r="H2182" i="1"/>
  <c r="I2182" i="1"/>
  <c r="C2183" i="1"/>
  <c r="D2183" i="1"/>
  <c r="E2183" i="1"/>
  <c r="F2183" i="1"/>
  <c r="G2183" i="1"/>
  <c r="H2183" i="1"/>
  <c r="I2183" i="1"/>
  <c r="C2184" i="1"/>
  <c r="D2184" i="1"/>
  <c r="E2184" i="1"/>
  <c r="F2184" i="1"/>
  <c r="G2184" i="1"/>
  <c r="H2184" i="1"/>
  <c r="I2184" i="1"/>
  <c r="C2185" i="1"/>
  <c r="D2185" i="1"/>
  <c r="E2185" i="1"/>
  <c r="F2185" i="1"/>
  <c r="G2185" i="1"/>
  <c r="H2185" i="1"/>
  <c r="I2185" i="1"/>
  <c r="C2296" i="1"/>
  <c r="D2296" i="1"/>
  <c r="E2296" i="1"/>
  <c r="F2296" i="1"/>
  <c r="G2296" i="1"/>
  <c r="H2296" i="1"/>
  <c r="I2296" i="1"/>
  <c r="C2297" i="1"/>
  <c r="D2297" i="1"/>
  <c r="E2297" i="1"/>
  <c r="F2297" i="1"/>
  <c r="G2297" i="1"/>
  <c r="H2297" i="1"/>
  <c r="I2297" i="1"/>
  <c r="C2298" i="1"/>
  <c r="D2298" i="1"/>
  <c r="E2298" i="1"/>
  <c r="F2298" i="1"/>
  <c r="G2298" i="1"/>
  <c r="H2298" i="1"/>
  <c r="I2298" i="1"/>
  <c r="C2299" i="1"/>
  <c r="D2299" i="1"/>
  <c r="E2299" i="1"/>
  <c r="F2299" i="1"/>
  <c r="G2299" i="1"/>
  <c r="H2299" i="1"/>
  <c r="I2299" i="1"/>
  <c r="C3407" i="1"/>
  <c r="D3407" i="1"/>
  <c r="E3407" i="1"/>
  <c r="F3407" i="1"/>
  <c r="G3407" i="1"/>
  <c r="H3407" i="1"/>
  <c r="I3407" i="1"/>
  <c r="C2434" i="1"/>
  <c r="D2434" i="1"/>
  <c r="E2434" i="1"/>
  <c r="F2434" i="1"/>
  <c r="G2434" i="1"/>
  <c r="H2434" i="1"/>
  <c r="I2434" i="1"/>
  <c r="C2551" i="1"/>
  <c r="D2551" i="1"/>
  <c r="E2551" i="1"/>
  <c r="F2551" i="1"/>
  <c r="G2551" i="1"/>
  <c r="H2551" i="1"/>
  <c r="I2551" i="1"/>
  <c r="C2552" i="1"/>
  <c r="D2552" i="1"/>
  <c r="E2552" i="1"/>
  <c r="F2552" i="1"/>
  <c r="G2552" i="1"/>
  <c r="H2552" i="1"/>
  <c r="I2552" i="1"/>
  <c r="C2553" i="1"/>
  <c r="D2553" i="1"/>
  <c r="E2553" i="1"/>
  <c r="F2553" i="1"/>
  <c r="G2553" i="1"/>
  <c r="H2553" i="1"/>
  <c r="I2553" i="1"/>
  <c r="C2554" i="1"/>
  <c r="D2554" i="1"/>
  <c r="E2554" i="1"/>
  <c r="F2554" i="1"/>
  <c r="G2554" i="1"/>
  <c r="H2554" i="1"/>
  <c r="I2554" i="1"/>
  <c r="C2555" i="1"/>
  <c r="D2555" i="1"/>
  <c r="E2555" i="1"/>
  <c r="F2555" i="1"/>
  <c r="G2555" i="1"/>
  <c r="H2555" i="1"/>
  <c r="I2555" i="1"/>
  <c r="C2549" i="1"/>
  <c r="D2549" i="1"/>
  <c r="E2549" i="1"/>
  <c r="F2549" i="1"/>
  <c r="G2549" i="1"/>
  <c r="H2549" i="1"/>
  <c r="I2549" i="1"/>
  <c r="C2556" i="1"/>
  <c r="D2556" i="1"/>
  <c r="E2556" i="1"/>
  <c r="F2556" i="1"/>
  <c r="G2556" i="1"/>
  <c r="H2556" i="1"/>
  <c r="I2556" i="1"/>
  <c r="C2673" i="1"/>
  <c r="D2673" i="1"/>
  <c r="E2673" i="1"/>
  <c r="F2673" i="1"/>
  <c r="G2673" i="1"/>
  <c r="H2673" i="1"/>
  <c r="I2673" i="1"/>
  <c r="C2674" i="1"/>
  <c r="D2674" i="1"/>
  <c r="E2674" i="1"/>
  <c r="F2674" i="1"/>
  <c r="G2674" i="1"/>
  <c r="H2674" i="1"/>
  <c r="I2674" i="1"/>
  <c r="C2675" i="1"/>
  <c r="D2675" i="1"/>
  <c r="E2675" i="1"/>
  <c r="F2675" i="1"/>
  <c r="G2675" i="1"/>
  <c r="H2675" i="1"/>
  <c r="I2675" i="1"/>
  <c r="C2676" i="1"/>
  <c r="D2676" i="1"/>
  <c r="E2676" i="1"/>
  <c r="F2676" i="1"/>
  <c r="G2676" i="1"/>
  <c r="H2676" i="1"/>
  <c r="I2676" i="1"/>
  <c r="C2677" i="1"/>
  <c r="D2677" i="1"/>
  <c r="E2677" i="1"/>
  <c r="F2677" i="1"/>
  <c r="G2677" i="1"/>
  <c r="H2677" i="1"/>
  <c r="I2677" i="1"/>
  <c r="C2784" i="1"/>
  <c r="D2784" i="1"/>
  <c r="E2784" i="1"/>
  <c r="F2784" i="1"/>
  <c r="G2784" i="1"/>
  <c r="H2784" i="1"/>
  <c r="I2784" i="1"/>
  <c r="C2785" i="1"/>
  <c r="D2785" i="1"/>
  <c r="E2785" i="1"/>
  <c r="F2785" i="1"/>
  <c r="G2785" i="1"/>
  <c r="H2785" i="1"/>
  <c r="I2785" i="1"/>
  <c r="C2786" i="1"/>
  <c r="D2786" i="1"/>
  <c r="E2786" i="1"/>
  <c r="F2786" i="1"/>
  <c r="G2786" i="1"/>
  <c r="H2786" i="1"/>
  <c r="I2786" i="1"/>
  <c r="C2880" i="1"/>
  <c r="D2880" i="1"/>
  <c r="E2880" i="1"/>
  <c r="F2880" i="1"/>
  <c r="G2880" i="1"/>
  <c r="H2880" i="1"/>
  <c r="I2880" i="1"/>
  <c r="C2881" i="1"/>
  <c r="D2881" i="1"/>
  <c r="E2881" i="1"/>
  <c r="F2881" i="1"/>
  <c r="G2881" i="1"/>
  <c r="H2881" i="1"/>
  <c r="I2881" i="1"/>
  <c r="C4398" i="1"/>
  <c r="D4398" i="1"/>
  <c r="E4398" i="1"/>
  <c r="F4398" i="1"/>
  <c r="G4398" i="1"/>
  <c r="H4398" i="1"/>
  <c r="I4398" i="1"/>
  <c r="C2982" i="1"/>
  <c r="D2982" i="1"/>
  <c r="E2982" i="1"/>
  <c r="F2982" i="1"/>
  <c r="G2982" i="1"/>
  <c r="H2982" i="1"/>
  <c r="I2982" i="1"/>
  <c r="C1367" i="1"/>
  <c r="D1367" i="1"/>
  <c r="E1367" i="1"/>
  <c r="F1367" i="1"/>
  <c r="G1367" i="1"/>
  <c r="H1367" i="1"/>
  <c r="I1367" i="1"/>
  <c r="C3062" i="1"/>
  <c r="D3062" i="1"/>
  <c r="E3062" i="1"/>
  <c r="F3062" i="1"/>
  <c r="G3062" i="1"/>
  <c r="H3062" i="1"/>
  <c r="I3062" i="1"/>
  <c r="C3063" i="1"/>
  <c r="D3063" i="1"/>
  <c r="E3063" i="1"/>
  <c r="F3063" i="1"/>
  <c r="G3063" i="1"/>
  <c r="H3063" i="1"/>
  <c r="I3063" i="1"/>
  <c r="C962" i="1"/>
  <c r="D962" i="1"/>
  <c r="E962" i="1"/>
  <c r="F962" i="1"/>
  <c r="G962" i="1"/>
  <c r="H962" i="1"/>
  <c r="I962" i="1"/>
  <c r="C3126" i="1"/>
  <c r="D3126" i="1"/>
  <c r="E3126" i="1"/>
  <c r="F3126" i="1"/>
  <c r="G3126" i="1"/>
  <c r="H3126" i="1"/>
  <c r="I3126" i="1"/>
  <c r="C3127" i="1"/>
  <c r="D3127" i="1"/>
  <c r="E3127" i="1"/>
  <c r="F3127" i="1"/>
  <c r="G3127" i="1"/>
  <c r="H3127" i="1"/>
  <c r="I3127" i="1"/>
  <c r="C3190" i="1"/>
  <c r="D3190" i="1"/>
  <c r="E3190" i="1"/>
  <c r="F3190" i="1"/>
  <c r="G3190" i="1"/>
  <c r="H3190" i="1"/>
  <c r="I3190" i="1"/>
  <c r="C3191" i="1"/>
  <c r="D3191" i="1"/>
  <c r="E3191" i="1"/>
  <c r="F3191" i="1"/>
  <c r="G3191" i="1"/>
  <c r="H3191" i="1"/>
  <c r="I3191" i="1"/>
  <c r="C3192" i="1"/>
  <c r="D3192" i="1"/>
  <c r="E3192" i="1"/>
  <c r="F3192" i="1"/>
  <c r="G3192" i="1"/>
  <c r="H3192" i="1"/>
  <c r="I3192" i="1"/>
  <c r="C3262" i="1"/>
  <c r="D3262" i="1"/>
  <c r="E3262" i="1"/>
  <c r="F3262" i="1"/>
  <c r="G3262" i="1"/>
  <c r="H3262" i="1"/>
  <c r="I3262" i="1"/>
  <c r="C3263" i="1"/>
  <c r="D3263" i="1"/>
  <c r="E3263" i="1"/>
  <c r="F3263" i="1"/>
  <c r="G3263" i="1"/>
  <c r="H3263" i="1"/>
  <c r="I3263" i="1"/>
  <c r="C3264" i="1"/>
  <c r="D3264" i="1"/>
  <c r="E3264" i="1"/>
  <c r="F3264" i="1"/>
  <c r="G3264" i="1"/>
  <c r="H3264" i="1"/>
  <c r="I3264" i="1"/>
  <c r="C3265" i="1"/>
  <c r="D3265" i="1"/>
  <c r="E3265" i="1"/>
  <c r="F3265" i="1"/>
  <c r="G3265" i="1"/>
  <c r="H3265" i="1"/>
  <c r="I3265" i="1"/>
  <c r="C2060" i="1"/>
  <c r="D2060" i="1"/>
  <c r="E2060" i="1"/>
  <c r="F2060" i="1"/>
  <c r="G2060" i="1"/>
  <c r="H2060" i="1"/>
  <c r="I2060" i="1"/>
  <c r="C3338" i="1"/>
  <c r="D3338" i="1"/>
  <c r="E3338" i="1"/>
  <c r="F3338" i="1"/>
  <c r="G3338" i="1"/>
  <c r="H3338" i="1"/>
  <c r="I3338" i="1"/>
  <c r="C3400" i="1"/>
  <c r="D3400" i="1"/>
  <c r="E3400" i="1"/>
  <c r="F3400" i="1"/>
  <c r="G3400" i="1"/>
  <c r="H3400" i="1"/>
  <c r="I3400" i="1"/>
  <c r="C3401" i="1"/>
  <c r="D3401" i="1"/>
  <c r="E3401" i="1"/>
  <c r="F3401" i="1"/>
  <c r="G3401" i="1"/>
  <c r="H3401" i="1"/>
  <c r="I3401" i="1"/>
  <c r="C3530" i="1"/>
  <c r="D3530" i="1"/>
  <c r="E3530" i="1"/>
  <c r="F3530" i="1"/>
  <c r="G3530" i="1"/>
  <c r="H3530" i="1"/>
  <c r="I3530" i="1"/>
  <c r="C3531" i="1"/>
  <c r="D3531" i="1"/>
  <c r="E3531" i="1"/>
  <c r="F3531" i="1"/>
  <c r="G3531" i="1"/>
  <c r="H3531" i="1"/>
  <c r="I3531" i="1"/>
  <c r="C3532" i="1"/>
  <c r="D3532" i="1"/>
  <c r="E3532" i="1"/>
  <c r="F3532" i="1"/>
  <c r="G3532" i="1"/>
  <c r="H3532" i="1"/>
  <c r="I3532" i="1"/>
  <c r="C3589" i="1"/>
  <c r="D3589" i="1"/>
  <c r="E3589" i="1"/>
  <c r="F3589" i="1"/>
  <c r="G3589" i="1"/>
  <c r="H3589" i="1"/>
  <c r="I3589" i="1"/>
  <c r="C3699" i="1"/>
  <c r="D3699" i="1"/>
  <c r="E3699" i="1"/>
  <c r="F3699" i="1"/>
  <c r="G3699" i="1"/>
  <c r="H3699" i="1"/>
  <c r="I3699" i="1"/>
  <c r="C3899" i="1"/>
  <c r="D3899" i="1"/>
  <c r="E3899" i="1"/>
  <c r="F3899" i="1"/>
  <c r="G3899" i="1"/>
  <c r="H3899" i="1"/>
  <c r="I3899" i="1"/>
  <c r="C3900" i="1"/>
  <c r="D3900" i="1"/>
  <c r="E3900" i="1"/>
  <c r="F3900" i="1"/>
  <c r="G3900" i="1"/>
  <c r="H3900" i="1"/>
  <c r="I3900" i="1"/>
  <c r="C3933" i="1"/>
  <c r="D3933" i="1"/>
  <c r="E3933" i="1"/>
  <c r="F3933" i="1"/>
  <c r="G3933" i="1"/>
  <c r="H3933" i="1"/>
  <c r="I3933" i="1"/>
  <c r="C3999" i="1"/>
  <c r="D3999" i="1"/>
  <c r="E3999" i="1"/>
  <c r="F3999" i="1"/>
  <c r="G3999" i="1"/>
  <c r="H3999" i="1"/>
  <c r="I3999" i="1"/>
  <c r="C4029" i="1"/>
  <c r="D4029" i="1"/>
  <c r="E4029" i="1"/>
  <c r="F4029" i="1"/>
  <c r="G4029" i="1"/>
  <c r="H4029" i="1"/>
  <c r="I4029" i="1"/>
  <c r="C4090" i="1"/>
  <c r="D4090" i="1"/>
  <c r="E4090" i="1"/>
  <c r="F4090" i="1"/>
  <c r="G4090" i="1"/>
  <c r="H4090" i="1"/>
  <c r="I4090" i="1"/>
  <c r="C4133" i="1"/>
  <c r="D4133" i="1"/>
  <c r="E4133" i="1"/>
  <c r="F4133" i="1"/>
  <c r="G4133" i="1"/>
  <c r="H4133" i="1"/>
  <c r="I4133" i="1"/>
  <c r="C963" i="1"/>
  <c r="D963" i="1"/>
  <c r="E963" i="1"/>
  <c r="F963" i="1"/>
  <c r="G963" i="1"/>
  <c r="H963" i="1"/>
  <c r="I963" i="1"/>
  <c r="C757" i="1"/>
  <c r="D757" i="1"/>
  <c r="E757" i="1"/>
  <c r="F757" i="1"/>
  <c r="G757" i="1"/>
  <c r="H757" i="1"/>
  <c r="I757" i="1"/>
  <c r="C1234" i="1"/>
  <c r="D1234" i="1"/>
  <c r="E1234" i="1"/>
  <c r="F1234" i="1"/>
  <c r="G1234" i="1"/>
  <c r="H1234" i="1"/>
  <c r="I1234" i="1"/>
  <c r="C1235" i="1"/>
  <c r="D1235" i="1"/>
  <c r="E1235" i="1"/>
  <c r="F1235" i="1"/>
  <c r="G1235" i="1"/>
  <c r="H1235" i="1"/>
  <c r="I1235" i="1"/>
  <c r="C1507" i="1"/>
  <c r="D1507" i="1"/>
  <c r="E1507" i="1"/>
  <c r="F1507" i="1"/>
  <c r="G1507" i="1"/>
  <c r="H1507" i="1"/>
  <c r="I1507" i="1"/>
  <c r="C830" i="1"/>
  <c r="D830" i="1"/>
  <c r="E830" i="1"/>
  <c r="F830" i="1"/>
  <c r="G830" i="1"/>
  <c r="H830" i="1"/>
  <c r="I830" i="1"/>
  <c r="C2186" i="1"/>
  <c r="D2186" i="1"/>
  <c r="E2186" i="1"/>
  <c r="F2186" i="1"/>
  <c r="G2186" i="1"/>
  <c r="H2186" i="1"/>
  <c r="I2186" i="1"/>
  <c r="C2787" i="1"/>
  <c r="D2787" i="1"/>
  <c r="E2787" i="1"/>
  <c r="F2787" i="1"/>
  <c r="G2787" i="1"/>
  <c r="H2787" i="1"/>
  <c r="I2787" i="1"/>
  <c r="C2788" i="1"/>
  <c r="D2788" i="1"/>
  <c r="E2788" i="1"/>
  <c r="F2788" i="1"/>
  <c r="G2788" i="1"/>
  <c r="H2788" i="1"/>
  <c r="I2788" i="1"/>
  <c r="C2789" i="1"/>
  <c r="D2789" i="1"/>
  <c r="E2789" i="1"/>
  <c r="F2789" i="1"/>
  <c r="G2789" i="1"/>
  <c r="H2789" i="1"/>
  <c r="I2789" i="1"/>
  <c r="C2790" i="1"/>
  <c r="D2790" i="1"/>
  <c r="E2790" i="1"/>
  <c r="F2790" i="1"/>
  <c r="G2790" i="1"/>
  <c r="H2790" i="1"/>
  <c r="I2790" i="1"/>
  <c r="C2983" i="1"/>
  <c r="D2983" i="1"/>
  <c r="E2983" i="1"/>
  <c r="F2983" i="1"/>
  <c r="G2983" i="1"/>
  <c r="H2983" i="1"/>
  <c r="I2983" i="1"/>
  <c r="C2984" i="1"/>
  <c r="D2984" i="1"/>
  <c r="E2984" i="1"/>
  <c r="F2984" i="1"/>
  <c r="G2984" i="1"/>
  <c r="H2984" i="1"/>
  <c r="I2984" i="1"/>
  <c r="C3064" i="1"/>
  <c r="D3064" i="1"/>
  <c r="E3064" i="1"/>
  <c r="F3064" i="1"/>
  <c r="G3064" i="1"/>
  <c r="H3064" i="1"/>
  <c r="I3064" i="1"/>
  <c r="C3065" i="1"/>
  <c r="D3065" i="1"/>
  <c r="E3065" i="1"/>
  <c r="F3065" i="1"/>
  <c r="G3065" i="1"/>
  <c r="H3065" i="1"/>
  <c r="I3065" i="1"/>
  <c r="C3193" i="1"/>
  <c r="D3193" i="1"/>
  <c r="E3193" i="1"/>
  <c r="F3193" i="1"/>
  <c r="G3193" i="1"/>
  <c r="H3193" i="1"/>
  <c r="I3193" i="1"/>
  <c r="C3194" i="1"/>
  <c r="D3194" i="1"/>
  <c r="E3194" i="1"/>
  <c r="F3194" i="1"/>
  <c r="G3194" i="1"/>
  <c r="H3194" i="1"/>
  <c r="I3194" i="1"/>
  <c r="C3195" i="1"/>
  <c r="D3195" i="1"/>
  <c r="E3195" i="1"/>
  <c r="F3195" i="1"/>
  <c r="G3195" i="1"/>
  <c r="H3195" i="1"/>
  <c r="I3195" i="1"/>
  <c r="C3266" i="1"/>
  <c r="D3266" i="1"/>
  <c r="E3266" i="1"/>
  <c r="F3266" i="1"/>
  <c r="G3266" i="1"/>
  <c r="H3266" i="1"/>
  <c r="I3266" i="1"/>
  <c r="C3267" i="1"/>
  <c r="D3267" i="1"/>
  <c r="E3267" i="1"/>
  <c r="F3267" i="1"/>
  <c r="G3267" i="1"/>
  <c r="H3267" i="1"/>
  <c r="I3267" i="1"/>
  <c r="C3268" i="1"/>
  <c r="D3268" i="1"/>
  <c r="E3268" i="1"/>
  <c r="F3268" i="1"/>
  <c r="G3268" i="1"/>
  <c r="H3268" i="1"/>
  <c r="I3268" i="1"/>
  <c r="C3339" i="1"/>
  <c r="D3339" i="1"/>
  <c r="E3339" i="1"/>
  <c r="F3339" i="1"/>
  <c r="G3339" i="1"/>
  <c r="H3339" i="1"/>
  <c r="I3339" i="1"/>
  <c r="C3340" i="1"/>
  <c r="D3340" i="1"/>
  <c r="E3340" i="1"/>
  <c r="F3340" i="1"/>
  <c r="G3340" i="1"/>
  <c r="H3340" i="1"/>
  <c r="I3340" i="1"/>
  <c r="C3341" i="1"/>
  <c r="D3341" i="1"/>
  <c r="E3341" i="1"/>
  <c r="F3341" i="1"/>
  <c r="G3341" i="1"/>
  <c r="H3341" i="1"/>
  <c r="I3341" i="1"/>
  <c r="C3342" i="1"/>
  <c r="D3342" i="1"/>
  <c r="E3342" i="1"/>
  <c r="F3342" i="1"/>
  <c r="G3342" i="1"/>
  <c r="H3342" i="1"/>
  <c r="I3342" i="1"/>
  <c r="C3343" i="1"/>
  <c r="D3343" i="1"/>
  <c r="E3343" i="1"/>
  <c r="F3343" i="1"/>
  <c r="G3343" i="1"/>
  <c r="H3343" i="1"/>
  <c r="I3343" i="1"/>
  <c r="C3344" i="1"/>
  <c r="D3344" i="1"/>
  <c r="E3344" i="1"/>
  <c r="F3344" i="1"/>
  <c r="G3344" i="1"/>
  <c r="H3344" i="1"/>
  <c r="I3344" i="1"/>
  <c r="C3345" i="1"/>
  <c r="D3345" i="1"/>
  <c r="E3345" i="1"/>
  <c r="F3345" i="1"/>
  <c r="G3345" i="1"/>
  <c r="H3345" i="1"/>
  <c r="I3345" i="1"/>
  <c r="C4030" i="1"/>
  <c r="D4030" i="1"/>
  <c r="E4030" i="1"/>
  <c r="F4030" i="1"/>
  <c r="G4030" i="1"/>
  <c r="H4030" i="1"/>
  <c r="I4030" i="1"/>
  <c r="C3346" i="1"/>
  <c r="D3346" i="1"/>
  <c r="E3346" i="1"/>
  <c r="F3346" i="1"/>
  <c r="G3346" i="1"/>
  <c r="H3346" i="1"/>
  <c r="I3346" i="1"/>
  <c r="C3347" i="1"/>
  <c r="D3347" i="1"/>
  <c r="E3347" i="1"/>
  <c r="F3347" i="1"/>
  <c r="G3347" i="1"/>
  <c r="H3347" i="1"/>
  <c r="I3347" i="1"/>
  <c r="C3348" i="1"/>
  <c r="D3348" i="1"/>
  <c r="E3348" i="1"/>
  <c r="F3348" i="1"/>
  <c r="G3348" i="1"/>
  <c r="H3348" i="1"/>
  <c r="I3348" i="1"/>
  <c r="C3402" i="1"/>
  <c r="D3402" i="1"/>
  <c r="E3402" i="1"/>
  <c r="F3402" i="1"/>
  <c r="G3402" i="1"/>
  <c r="H3402" i="1"/>
  <c r="I3402" i="1"/>
  <c r="C3475" i="1"/>
  <c r="D3475" i="1"/>
  <c r="E3475" i="1"/>
  <c r="F3475" i="1"/>
  <c r="G3475" i="1"/>
  <c r="H3475" i="1"/>
  <c r="I3475" i="1"/>
  <c r="C3808" i="1"/>
  <c r="D3808" i="1"/>
  <c r="E3808" i="1"/>
  <c r="F3808" i="1"/>
  <c r="G3808" i="1"/>
  <c r="H3808" i="1"/>
  <c r="I3808" i="1"/>
  <c r="C3476" i="1"/>
  <c r="D3476" i="1"/>
  <c r="E3476" i="1"/>
  <c r="F3476" i="1"/>
  <c r="G3476" i="1"/>
  <c r="H3476" i="1"/>
  <c r="I3476" i="1"/>
  <c r="C3477" i="1"/>
  <c r="D3477" i="1"/>
  <c r="E3477" i="1"/>
  <c r="F3477" i="1"/>
  <c r="G3477" i="1"/>
  <c r="H3477" i="1"/>
  <c r="I3477" i="1"/>
  <c r="C3478" i="1"/>
  <c r="D3478" i="1"/>
  <c r="E3478" i="1"/>
  <c r="F3478" i="1"/>
  <c r="G3478" i="1"/>
  <c r="H3478" i="1"/>
  <c r="I3478" i="1"/>
  <c r="C3533" i="1"/>
  <c r="D3533" i="1"/>
  <c r="E3533" i="1"/>
  <c r="F3533" i="1"/>
  <c r="G3533" i="1"/>
  <c r="H3533" i="1"/>
  <c r="I3533" i="1"/>
  <c r="C3534" i="1"/>
  <c r="D3534" i="1"/>
  <c r="E3534" i="1"/>
  <c r="F3534" i="1"/>
  <c r="G3534" i="1"/>
  <c r="H3534" i="1"/>
  <c r="I3534" i="1"/>
  <c r="C3590" i="1"/>
  <c r="D3590" i="1"/>
  <c r="E3590" i="1"/>
  <c r="F3590" i="1"/>
  <c r="G3590" i="1"/>
  <c r="H3590" i="1"/>
  <c r="I3590" i="1"/>
  <c r="C3591" i="1"/>
  <c r="D3591" i="1"/>
  <c r="E3591" i="1"/>
  <c r="F3591" i="1"/>
  <c r="G3591" i="1"/>
  <c r="H3591" i="1"/>
  <c r="I3591" i="1"/>
  <c r="C3592" i="1"/>
  <c r="D3592" i="1"/>
  <c r="E3592" i="1"/>
  <c r="F3592" i="1"/>
  <c r="G3592" i="1"/>
  <c r="H3592" i="1"/>
  <c r="I3592" i="1"/>
  <c r="C4222" i="1"/>
  <c r="D4222" i="1"/>
  <c r="E4222" i="1"/>
  <c r="F4222" i="1"/>
  <c r="G4222" i="1"/>
  <c r="H4222" i="1"/>
  <c r="I4222" i="1"/>
  <c r="C3650" i="1"/>
  <c r="D3650" i="1"/>
  <c r="E3650" i="1"/>
  <c r="F3650" i="1"/>
  <c r="G3650" i="1"/>
  <c r="H3650" i="1"/>
  <c r="I3650" i="1"/>
  <c r="C3651" i="1"/>
  <c r="D3651" i="1"/>
  <c r="E3651" i="1"/>
  <c r="F3651" i="1"/>
  <c r="G3651" i="1"/>
  <c r="H3651" i="1"/>
  <c r="I3651" i="1"/>
  <c r="C3652" i="1"/>
  <c r="D3652" i="1"/>
  <c r="E3652" i="1"/>
  <c r="F3652" i="1"/>
  <c r="G3652" i="1"/>
  <c r="H3652" i="1"/>
  <c r="I3652" i="1"/>
  <c r="C3653" i="1"/>
  <c r="D3653" i="1"/>
  <c r="E3653" i="1"/>
  <c r="F3653" i="1"/>
  <c r="G3653" i="1"/>
  <c r="H3653" i="1"/>
  <c r="I3653" i="1"/>
  <c r="C3700" i="1"/>
  <c r="D3700" i="1"/>
  <c r="E3700" i="1"/>
  <c r="F3700" i="1"/>
  <c r="G3700" i="1"/>
  <c r="H3700" i="1"/>
  <c r="I3700" i="1"/>
  <c r="C3701" i="1"/>
  <c r="D3701" i="1"/>
  <c r="E3701" i="1"/>
  <c r="F3701" i="1"/>
  <c r="G3701" i="1"/>
  <c r="H3701" i="1"/>
  <c r="I3701" i="1"/>
  <c r="C3702" i="1"/>
  <c r="D3702" i="1"/>
  <c r="E3702" i="1"/>
  <c r="F3702" i="1"/>
  <c r="G3702" i="1"/>
  <c r="H3702" i="1"/>
  <c r="I3702" i="1"/>
  <c r="C3755" i="1"/>
  <c r="D3755" i="1"/>
  <c r="E3755" i="1"/>
  <c r="F3755" i="1"/>
  <c r="G3755" i="1"/>
  <c r="H3755" i="1"/>
  <c r="I3755" i="1"/>
  <c r="C3756" i="1"/>
  <c r="D3756" i="1"/>
  <c r="E3756" i="1"/>
  <c r="F3756" i="1"/>
  <c r="G3756" i="1"/>
  <c r="H3756" i="1"/>
  <c r="I3756" i="1"/>
  <c r="C3809" i="1"/>
  <c r="D3809" i="1"/>
  <c r="E3809" i="1"/>
  <c r="F3809" i="1"/>
  <c r="G3809" i="1"/>
  <c r="H3809" i="1"/>
  <c r="I3809" i="1"/>
  <c r="C3810" i="1"/>
  <c r="D3810" i="1"/>
  <c r="E3810" i="1"/>
  <c r="F3810" i="1"/>
  <c r="G3810" i="1"/>
  <c r="H3810" i="1"/>
  <c r="I3810" i="1"/>
  <c r="C3811" i="1"/>
  <c r="D3811" i="1"/>
  <c r="E3811" i="1"/>
  <c r="F3811" i="1"/>
  <c r="G3811" i="1"/>
  <c r="H3811" i="1"/>
  <c r="I3811" i="1"/>
  <c r="C3812" i="1"/>
  <c r="D3812" i="1"/>
  <c r="E3812" i="1"/>
  <c r="F3812" i="1"/>
  <c r="G3812" i="1"/>
  <c r="H3812" i="1"/>
  <c r="I3812" i="1"/>
  <c r="C4000" i="1"/>
  <c r="D4000" i="1"/>
  <c r="E4000" i="1"/>
  <c r="F4000" i="1"/>
  <c r="G4000" i="1"/>
  <c r="H4000" i="1"/>
  <c r="I4000" i="1"/>
  <c r="C3858" i="1"/>
  <c r="D3858" i="1"/>
  <c r="E3858" i="1"/>
  <c r="F3858" i="1"/>
  <c r="G3858" i="1"/>
  <c r="H3858" i="1"/>
  <c r="I3858" i="1"/>
  <c r="C3859" i="1"/>
  <c r="D3859" i="1"/>
  <c r="E3859" i="1"/>
  <c r="F3859" i="1"/>
  <c r="G3859" i="1"/>
  <c r="H3859" i="1"/>
  <c r="I3859" i="1"/>
  <c r="C3901" i="1"/>
  <c r="D3901" i="1"/>
  <c r="E3901" i="1"/>
  <c r="F3901" i="1"/>
  <c r="G3901" i="1"/>
  <c r="H3901" i="1"/>
  <c r="I3901" i="1"/>
  <c r="C3902" i="1"/>
  <c r="D3902" i="1"/>
  <c r="E3902" i="1"/>
  <c r="F3902" i="1"/>
  <c r="G3902" i="1"/>
  <c r="H3902" i="1"/>
  <c r="I3902" i="1"/>
  <c r="C3969" i="1"/>
  <c r="D3969" i="1"/>
  <c r="E3969" i="1"/>
  <c r="F3969" i="1"/>
  <c r="G3969" i="1"/>
  <c r="H3969" i="1"/>
  <c r="I3969" i="1"/>
  <c r="C3970" i="1"/>
  <c r="D3970" i="1"/>
  <c r="E3970" i="1"/>
  <c r="F3970" i="1"/>
  <c r="G3970" i="1"/>
  <c r="H3970" i="1"/>
  <c r="I3970" i="1"/>
  <c r="C3971" i="1"/>
  <c r="D3971" i="1"/>
  <c r="E3971" i="1"/>
  <c r="F3971" i="1"/>
  <c r="G3971" i="1"/>
  <c r="H3971" i="1"/>
  <c r="I3971" i="1"/>
  <c r="C3972" i="1"/>
  <c r="D3972" i="1"/>
  <c r="E3972" i="1"/>
  <c r="F3972" i="1"/>
  <c r="G3972" i="1"/>
  <c r="H3972" i="1"/>
  <c r="I3972" i="1"/>
  <c r="C4001" i="1"/>
  <c r="D4001" i="1"/>
  <c r="E4001" i="1"/>
  <c r="F4001" i="1"/>
  <c r="G4001" i="1"/>
  <c r="H4001" i="1"/>
  <c r="I4001" i="1"/>
  <c r="C4002" i="1"/>
  <c r="D4002" i="1"/>
  <c r="E4002" i="1"/>
  <c r="F4002" i="1"/>
  <c r="G4002" i="1"/>
  <c r="H4002" i="1"/>
  <c r="I4002" i="1"/>
  <c r="C2300" i="1"/>
  <c r="D2300" i="1"/>
  <c r="E2300" i="1"/>
  <c r="F2300" i="1"/>
  <c r="G2300" i="1"/>
  <c r="H2300" i="1"/>
  <c r="I2300" i="1"/>
  <c r="C4031" i="1"/>
  <c r="D4031" i="1"/>
  <c r="E4031" i="1"/>
  <c r="F4031" i="1"/>
  <c r="G4031" i="1"/>
  <c r="H4031" i="1"/>
  <c r="I4031" i="1"/>
  <c r="C4060" i="1"/>
  <c r="D4060" i="1"/>
  <c r="E4060" i="1"/>
  <c r="F4060" i="1"/>
  <c r="G4060" i="1"/>
  <c r="H4060" i="1"/>
  <c r="I4060" i="1"/>
  <c r="C4061" i="1"/>
  <c r="D4061" i="1"/>
  <c r="E4061" i="1"/>
  <c r="F4061" i="1"/>
  <c r="G4061" i="1"/>
  <c r="H4061" i="1"/>
  <c r="I4061" i="1"/>
  <c r="C4092" i="1"/>
  <c r="D4092" i="1"/>
  <c r="E4092" i="1"/>
  <c r="F4092" i="1"/>
  <c r="G4092" i="1"/>
  <c r="H4092" i="1"/>
  <c r="I4092" i="1"/>
  <c r="C2061" i="1"/>
  <c r="D2061" i="1"/>
  <c r="E2061" i="1"/>
  <c r="F2061" i="1"/>
  <c r="G2061" i="1"/>
  <c r="H2061" i="1"/>
  <c r="I2061" i="1"/>
  <c r="C4179" i="1"/>
  <c r="D4179" i="1"/>
  <c r="E4179" i="1"/>
  <c r="F4179" i="1"/>
  <c r="G4179" i="1"/>
  <c r="H4179" i="1"/>
  <c r="I4179" i="1"/>
  <c r="C4180" i="1"/>
  <c r="D4180" i="1"/>
  <c r="E4180" i="1"/>
  <c r="F4180" i="1"/>
  <c r="G4180" i="1"/>
  <c r="H4180" i="1"/>
  <c r="I4180" i="1"/>
  <c r="C2557" i="1"/>
  <c r="D2557" i="1"/>
  <c r="E2557" i="1"/>
  <c r="F2557" i="1"/>
  <c r="G2557" i="1"/>
  <c r="H2557" i="1"/>
  <c r="I2557" i="1"/>
  <c r="C4205" i="1"/>
  <c r="D4205" i="1"/>
  <c r="E4205" i="1"/>
  <c r="F4205" i="1"/>
  <c r="G4205" i="1"/>
  <c r="H4205" i="1"/>
  <c r="I4205" i="1"/>
  <c r="C4215" i="1"/>
  <c r="D4215" i="1"/>
  <c r="E4215" i="1"/>
  <c r="F4215" i="1"/>
  <c r="G4215" i="1"/>
  <c r="H4215" i="1"/>
  <c r="I4215" i="1"/>
  <c r="C3349" i="1"/>
  <c r="D3349" i="1"/>
  <c r="E3349" i="1"/>
  <c r="F3349" i="1"/>
  <c r="G3349" i="1"/>
  <c r="H3349" i="1"/>
  <c r="I3349" i="1"/>
  <c r="C3403" i="1"/>
  <c r="D3403" i="1"/>
  <c r="E3403" i="1"/>
  <c r="F3403" i="1"/>
  <c r="G3403" i="1"/>
  <c r="H3403" i="1"/>
  <c r="I3403" i="1"/>
  <c r="C3404" i="1"/>
  <c r="D3404" i="1"/>
  <c r="E3404" i="1"/>
  <c r="F3404" i="1"/>
  <c r="G3404" i="1"/>
  <c r="H3404" i="1"/>
  <c r="I3404" i="1"/>
  <c r="C3703" i="1"/>
  <c r="D3703" i="1"/>
  <c r="E3703" i="1"/>
  <c r="F3703" i="1"/>
  <c r="G3703" i="1"/>
  <c r="H3703" i="1"/>
  <c r="I3703" i="1"/>
  <c r="C1373" i="1"/>
  <c r="D1373" i="1"/>
  <c r="E1373" i="1"/>
  <c r="F1373" i="1"/>
  <c r="G1373" i="1"/>
  <c r="H1373" i="1"/>
  <c r="I1373" i="1"/>
  <c r="C2985" i="1"/>
  <c r="D2985" i="1"/>
  <c r="E2985" i="1"/>
  <c r="F2985" i="1"/>
  <c r="G2985" i="1"/>
  <c r="H2985" i="1"/>
  <c r="I2985" i="1"/>
  <c r="C4121" i="1"/>
  <c r="D4121" i="1"/>
  <c r="E4121" i="1"/>
  <c r="F4121" i="1"/>
  <c r="G4121" i="1"/>
  <c r="H4121" i="1"/>
  <c r="I4121" i="1"/>
  <c r="C1368" i="1"/>
  <c r="D1368" i="1"/>
  <c r="E1368" i="1"/>
  <c r="F1368" i="1"/>
  <c r="G1368" i="1"/>
  <c r="H1368" i="1"/>
  <c r="I1368" i="1"/>
  <c r="C3066" i="1"/>
  <c r="D3066" i="1"/>
  <c r="E3066" i="1"/>
  <c r="F3066" i="1"/>
  <c r="G3066" i="1"/>
  <c r="H3066" i="1"/>
  <c r="I3066" i="1"/>
  <c r="C3128" i="1"/>
  <c r="D3128" i="1"/>
  <c r="E3128" i="1"/>
  <c r="F3128" i="1"/>
  <c r="G3128" i="1"/>
  <c r="H3128" i="1"/>
  <c r="I3128" i="1"/>
  <c r="C3129" i="1"/>
  <c r="D3129" i="1"/>
  <c r="E3129" i="1"/>
  <c r="F3129" i="1"/>
  <c r="G3129" i="1"/>
  <c r="H3129" i="1"/>
  <c r="I3129" i="1"/>
  <c r="C3196" i="1"/>
  <c r="D3196" i="1"/>
  <c r="E3196" i="1"/>
  <c r="F3196" i="1"/>
  <c r="G3196" i="1"/>
  <c r="H3196" i="1"/>
  <c r="I3196" i="1"/>
  <c r="C3197" i="1"/>
  <c r="D3197" i="1"/>
  <c r="E3197" i="1"/>
  <c r="F3197" i="1"/>
  <c r="G3197" i="1"/>
  <c r="H3197" i="1"/>
  <c r="I3197" i="1"/>
  <c r="C3350" i="1"/>
  <c r="D3350" i="1"/>
  <c r="E3350" i="1"/>
  <c r="F3350" i="1"/>
  <c r="G3350" i="1"/>
  <c r="H3350" i="1"/>
  <c r="I3350" i="1"/>
  <c r="C3479" i="1"/>
  <c r="D3479" i="1"/>
  <c r="E3479" i="1"/>
  <c r="F3479" i="1"/>
  <c r="G3479" i="1"/>
  <c r="H3479" i="1"/>
  <c r="I3479" i="1"/>
  <c r="C3480" i="1"/>
  <c r="D3480" i="1"/>
  <c r="E3480" i="1"/>
  <c r="F3480" i="1"/>
  <c r="G3480" i="1"/>
  <c r="H3480" i="1"/>
  <c r="I3480" i="1"/>
  <c r="C4174" i="1"/>
  <c r="D4174" i="1"/>
  <c r="E4174" i="1"/>
  <c r="F4174" i="1"/>
  <c r="G4174" i="1"/>
  <c r="H4174" i="1"/>
  <c r="I4174" i="1"/>
  <c r="C4399" i="1"/>
  <c r="D4399" i="1"/>
  <c r="E4399" i="1"/>
  <c r="F4399" i="1"/>
  <c r="G4399" i="1"/>
  <c r="H4399" i="1"/>
  <c r="I4399" i="1"/>
  <c r="C4400" i="1"/>
  <c r="D4400" i="1"/>
  <c r="E4400" i="1"/>
  <c r="F4400" i="1"/>
  <c r="G4400" i="1"/>
  <c r="H4400" i="1"/>
  <c r="I4400" i="1"/>
  <c r="C4134" i="1"/>
  <c r="D4134" i="1"/>
  <c r="E4134" i="1"/>
  <c r="F4134" i="1"/>
  <c r="G4134" i="1"/>
  <c r="H4134" i="1"/>
  <c r="I4134" i="1"/>
  <c r="C4401" i="1"/>
  <c r="D4401" i="1"/>
  <c r="E4401" i="1"/>
  <c r="F4401" i="1"/>
  <c r="G4401" i="1"/>
  <c r="H4401" i="1"/>
  <c r="I4401" i="1"/>
  <c r="C3757" i="1"/>
  <c r="D3757" i="1"/>
  <c r="E3757" i="1"/>
  <c r="F3757" i="1"/>
  <c r="G3757" i="1"/>
  <c r="H3757" i="1"/>
  <c r="I3757" i="1"/>
  <c r="C3525" i="1"/>
  <c r="D3525" i="1"/>
  <c r="E3525" i="1"/>
  <c r="F3525" i="1"/>
  <c r="G3525" i="1"/>
  <c r="H3525" i="1"/>
  <c r="I3525" i="1"/>
  <c r="C3903" i="1"/>
  <c r="D3903" i="1"/>
  <c r="E3903" i="1"/>
  <c r="F3903" i="1"/>
  <c r="G3903" i="1"/>
  <c r="H3903" i="1"/>
  <c r="I3903" i="1"/>
  <c r="C3860" i="1"/>
  <c r="D3860" i="1"/>
  <c r="E3860" i="1"/>
  <c r="F3860" i="1"/>
  <c r="G3860" i="1"/>
  <c r="H3860" i="1"/>
  <c r="I3860" i="1"/>
  <c r="C3861" i="1"/>
  <c r="D3861" i="1"/>
  <c r="E3861" i="1"/>
  <c r="F3861" i="1"/>
  <c r="G3861" i="1"/>
  <c r="H3861" i="1"/>
  <c r="I3861" i="1"/>
  <c r="C3904" i="1"/>
  <c r="D3904" i="1"/>
  <c r="E3904" i="1"/>
  <c r="F3904" i="1"/>
  <c r="G3904" i="1"/>
  <c r="H3904" i="1"/>
  <c r="I3904" i="1"/>
  <c r="C3934" i="1"/>
  <c r="D3934" i="1"/>
  <c r="E3934" i="1"/>
  <c r="F3934" i="1"/>
  <c r="G3934" i="1"/>
  <c r="H3934" i="1"/>
  <c r="I3934" i="1"/>
  <c r="C4230" i="1"/>
  <c r="D4230" i="1"/>
  <c r="E4230" i="1"/>
  <c r="F4230" i="1"/>
  <c r="G4230" i="1"/>
  <c r="H4230" i="1"/>
  <c r="I4230" i="1"/>
  <c r="C3973" i="1"/>
  <c r="D3973" i="1"/>
  <c r="E3973" i="1"/>
  <c r="F3973" i="1"/>
  <c r="G3973" i="1"/>
  <c r="H3973" i="1"/>
  <c r="I3973" i="1"/>
  <c r="C3749" i="1"/>
  <c r="D3749" i="1"/>
  <c r="E3749" i="1"/>
  <c r="F3749" i="1"/>
  <c r="G3749" i="1"/>
  <c r="H3749" i="1"/>
  <c r="I3749" i="1"/>
  <c r="C3932" i="1"/>
  <c r="D3932" i="1"/>
  <c r="E3932" i="1"/>
  <c r="F3932" i="1"/>
  <c r="G3932" i="1"/>
  <c r="H3932" i="1"/>
  <c r="I3932" i="1"/>
  <c r="C3067" i="1"/>
  <c r="D3067" i="1"/>
  <c r="E3067" i="1"/>
  <c r="F3067" i="1"/>
  <c r="G3067" i="1"/>
  <c r="H3067" i="1"/>
  <c r="I3067" i="1"/>
  <c r="C1659" i="1"/>
  <c r="D1659" i="1"/>
  <c r="E1659" i="1"/>
  <c r="F1659" i="1"/>
  <c r="G1659" i="1"/>
  <c r="H1659" i="1"/>
  <c r="I1659" i="1"/>
  <c r="C4032" i="1"/>
  <c r="D4032" i="1"/>
  <c r="E4032" i="1"/>
  <c r="F4032" i="1"/>
  <c r="G4032" i="1"/>
  <c r="H4032" i="1"/>
  <c r="I4032" i="1"/>
  <c r="C4093" i="1"/>
  <c r="D4093" i="1"/>
  <c r="E4093" i="1"/>
  <c r="F4093" i="1"/>
  <c r="G4093" i="1"/>
  <c r="H4093" i="1"/>
  <c r="I4093" i="1"/>
  <c r="C4111" i="1"/>
  <c r="D4111" i="1"/>
  <c r="E4111" i="1"/>
  <c r="F4111" i="1"/>
  <c r="G4111" i="1"/>
  <c r="H4111" i="1"/>
  <c r="I4111" i="1"/>
  <c r="C4135" i="1"/>
  <c r="D4135" i="1"/>
  <c r="E4135" i="1"/>
  <c r="F4135" i="1"/>
  <c r="G4135" i="1"/>
  <c r="H4135" i="1"/>
  <c r="I4135" i="1"/>
  <c r="C4194" i="1"/>
  <c r="D4194" i="1"/>
  <c r="E4194" i="1"/>
  <c r="F4194" i="1"/>
  <c r="G4194" i="1"/>
  <c r="H4194" i="1"/>
  <c r="I4194" i="1"/>
  <c r="C77" i="1"/>
  <c r="D77" i="1"/>
  <c r="E77" i="1"/>
  <c r="F77" i="1"/>
  <c r="G77" i="1"/>
  <c r="H77" i="1"/>
  <c r="I77" i="1"/>
  <c r="C4402" i="1"/>
  <c r="D4402" i="1"/>
  <c r="E4402" i="1"/>
  <c r="F4402" i="1"/>
  <c r="G4402" i="1"/>
  <c r="H4402" i="1"/>
  <c r="I4402" i="1"/>
  <c r="C4403" i="1"/>
  <c r="D4403" i="1"/>
  <c r="E4403" i="1"/>
  <c r="F4403" i="1"/>
  <c r="G4403" i="1"/>
  <c r="H4403" i="1"/>
  <c r="I4403" i="1"/>
  <c r="C4404" i="1"/>
  <c r="D4404" i="1"/>
  <c r="E4404" i="1"/>
  <c r="F4404" i="1"/>
  <c r="G4404" i="1"/>
  <c r="H4404" i="1"/>
  <c r="I4404" i="1"/>
  <c r="C3898" i="1"/>
  <c r="D3898" i="1"/>
  <c r="E3898" i="1"/>
  <c r="F3898" i="1"/>
  <c r="G3898" i="1"/>
  <c r="H3898" i="1"/>
  <c r="I3898" i="1"/>
  <c r="C359" i="1"/>
  <c r="D359" i="1"/>
  <c r="E359" i="1"/>
  <c r="F359" i="1"/>
  <c r="G359" i="1"/>
  <c r="H359" i="1"/>
  <c r="I359" i="1"/>
  <c r="C3122" i="1"/>
  <c r="D3122" i="1"/>
  <c r="E3122" i="1"/>
  <c r="F3122" i="1"/>
  <c r="G3122" i="1"/>
  <c r="H3122" i="1"/>
  <c r="I3122" i="1"/>
  <c r="C404" i="1"/>
  <c r="D404" i="1"/>
  <c r="E404" i="1"/>
  <c r="F404" i="1"/>
  <c r="G404" i="1"/>
  <c r="H404" i="1"/>
  <c r="I404" i="1"/>
  <c r="C518" i="1"/>
  <c r="D518" i="1"/>
  <c r="E518" i="1"/>
  <c r="F518" i="1"/>
  <c r="G518" i="1"/>
  <c r="H518" i="1"/>
  <c r="I518" i="1"/>
  <c r="C519" i="1"/>
  <c r="D519" i="1"/>
  <c r="E519" i="1"/>
  <c r="F519" i="1"/>
  <c r="G519" i="1"/>
  <c r="H519" i="1"/>
  <c r="I519" i="1"/>
  <c r="C520" i="1"/>
  <c r="D520" i="1"/>
  <c r="E520" i="1"/>
  <c r="F520" i="1"/>
  <c r="G520" i="1"/>
  <c r="H520" i="1"/>
  <c r="I520" i="1"/>
  <c r="C521" i="1"/>
  <c r="D521" i="1"/>
  <c r="E521" i="1"/>
  <c r="F521" i="1"/>
  <c r="G521" i="1"/>
  <c r="H521" i="1"/>
  <c r="I521" i="1"/>
  <c r="C575" i="1"/>
  <c r="D575" i="1"/>
  <c r="E575" i="1"/>
  <c r="F575" i="1"/>
  <c r="G575" i="1"/>
  <c r="H575" i="1"/>
  <c r="I575" i="1"/>
  <c r="C576" i="1"/>
  <c r="D576" i="1"/>
  <c r="E576" i="1"/>
  <c r="F576" i="1"/>
  <c r="G576" i="1"/>
  <c r="H576" i="1"/>
  <c r="I576" i="1"/>
  <c r="C649" i="1"/>
  <c r="D649" i="1"/>
  <c r="E649" i="1"/>
  <c r="F649" i="1"/>
  <c r="G649" i="1"/>
  <c r="H649" i="1"/>
  <c r="I649" i="1"/>
  <c r="C646" i="1"/>
  <c r="D646" i="1"/>
  <c r="E646" i="1"/>
  <c r="F646" i="1"/>
  <c r="G646" i="1"/>
  <c r="H646" i="1"/>
  <c r="I646" i="1"/>
  <c r="C650" i="1"/>
  <c r="D650" i="1"/>
  <c r="E650" i="1"/>
  <c r="F650" i="1"/>
  <c r="G650" i="1"/>
  <c r="H650" i="1"/>
  <c r="I650" i="1"/>
  <c r="C705" i="1"/>
  <c r="D705" i="1"/>
  <c r="E705" i="1"/>
  <c r="F705" i="1"/>
  <c r="G705" i="1"/>
  <c r="H705" i="1"/>
  <c r="I705" i="1"/>
  <c r="C706" i="1"/>
  <c r="D706" i="1"/>
  <c r="E706" i="1"/>
  <c r="F706" i="1"/>
  <c r="G706" i="1"/>
  <c r="H706" i="1"/>
  <c r="I706" i="1"/>
  <c r="C707" i="1"/>
  <c r="D707" i="1"/>
  <c r="E707" i="1"/>
  <c r="F707" i="1"/>
  <c r="G707" i="1"/>
  <c r="H707" i="1"/>
  <c r="I707" i="1"/>
  <c r="C754" i="1"/>
  <c r="D754" i="1"/>
  <c r="E754" i="1"/>
  <c r="F754" i="1"/>
  <c r="G754" i="1"/>
  <c r="H754" i="1"/>
  <c r="I754" i="1"/>
  <c r="C758" i="1"/>
  <c r="D758" i="1"/>
  <c r="E758" i="1"/>
  <c r="F758" i="1"/>
  <c r="G758" i="1"/>
  <c r="H758" i="1"/>
  <c r="I758" i="1"/>
  <c r="C4288" i="1"/>
  <c r="D4288" i="1"/>
  <c r="E4288" i="1"/>
  <c r="F4288" i="1"/>
  <c r="G4288" i="1"/>
  <c r="H4288" i="1"/>
  <c r="I4288" i="1"/>
  <c r="C831" i="1"/>
  <c r="D831" i="1"/>
  <c r="E831" i="1"/>
  <c r="F831" i="1"/>
  <c r="G831" i="1"/>
  <c r="H831" i="1"/>
  <c r="I831" i="1"/>
  <c r="C4285" i="1"/>
  <c r="D4285" i="1"/>
  <c r="E4285" i="1"/>
  <c r="F4285" i="1"/>
  <c r="G4285" i="1"/>
  <c r="H4285" i="1"/>
  <c r="I4285" i="1"/>
  <c r="C832" i="1"/>
  <c r="D832" i="1"/>
  <c r="E832" i="1"/>
  <c r="F832" i="1"/>
  <c r="G832" i="1"/>
  <c r="H832" i="1"/>
  <c r="I832" i="1"/>
  <c r="C833" i="1"/>
  <c r="D833" i="1"/>
  <c r="E833" i="1"/>
  <c r="F833" i="1"/>
  <c r="G833" i="1"/>
  <c r="H833" i="1"/>
  <c r="I833" i="1"/>
  <c r="C4281" i="1"/>
  <c r="D4281" i="1"/>
  <c r="E4281" i="1"/>
  <c r="F4281" i="1"/>
  <c r="G4281" i="1"/>
  <c r="H4281" i="1"/>
  <c r="I4281" i="1"/>
  <c r="C964" i="1"/>
  <c r="D964" i="1"/>
  <c r="E964" i="1"/>
  <c r="F964" i="1"/>
  <c r="G964" i="1"/>
  <c r="H964" i="1"/>
  <c r="I964" i="1"/>
  <c r="C4279" i="1"/>
  <c r="D4279" i="1"/>
  <c r="E4279" i="1"/>
  <c r="F4279" i="1"/>
  <c r="G4279" i="1"/>
  <c r="H4279" i="1"/>
  <c r="I4279" i="1"/>
  <c r="C4274" i="1"/>
  <c r="D4274" i="1"/>
  <c r="E4274" i="1"/>
  <c r="F4274" i="1"/>
  <c r="G4274" i="1"/>
  <c r="H4274" i="1"/>
  <c r="I4274" i="1"/>
  <c r="C965" i="1"/>
  <c r="D965" i="1"/>
  <c r="E965" i="1"/>
  <c r="F965" i="1"/>
  <c r="G965" i="1"/>
  <c r="H965" i="1"/>
  <c r="I965" i="1"/>
  <c r="C966" i="1"/>
  <c r="D966" i="1"/>
  <c r="E966" i="1"/>
  <c r="F966" i="1"/>
  <c r="G966" i="1"/>
  <c r="H966" i="1"/>
  <c r="I966" i="1"/>
  <c r="C967" i="1"/>
  <c r="D967" i="1"/>
  <c r="E967" i="1"/>
  <c r="F967" i="1"/>
  <c r="G967" i="1"/>
  <c r="H967" i="1"/>
  <c r="I967" i="1"/>
  <c r="C4091" i="1"/>
  <c r="D4091" i="1"/>
  <c r="E4091" i="1"/>
  <c r="F4091" i="1"/>
  <c r="G4091" i="1"/>
  <c r="H4091" i="1"/>
  <c r="I4091" i="1"/>
  <c r="C2062" i="1"/>
  <c r="D2062" i="1"/>
  <c r="E2062" i="1"/>
  <c r="F2062" i="1"/>
  <c r="G2062" i="1"/>
  <c r="H2062" i="1"/>
  <c r="I2062" i="1"/>
  <c r="C2063" i="1"/>
  <c r="D2063" i="1"/>
  <c r="E2063" i="1"/>
  <c r="F2063" i="1"/>
  <c r="G2063" i="1"/>
  <c r="H2063" i="1"/>
  <c r="I2063" i="1"/>
  <c r="C2791" i="1"/>
  <c r="D2791" i="1"/>
  <c r="E2791" i="1"/>
  <c r="F2791" i="1"/>
  <c r="G2791" i="1"/>
  <c r="H2791" i="1"/>
  <c r="I2791" i="1"/>
  <c r="C2301" i="1"/>
  <c r="D2301" i="1"/>
  <c r="E2301" i="1"/>
  <c r="F2301" i="1"/>
  <c r="G2301" i="1"/>
  <c r="H2301" i="1"/>
  <c r="I2301" i="1"/>
  <c r="C2435" i="1"/>
  <c r="D2435" i="1"/>
  <c r="E2435" i="1"/>
  <c r="F2435" i="1"/>
  <c r="G2435" i="1"/>
  <c r="H2435" i="1"/>
  <c r="I2435" i="1"/>
  <c r="C2187" i="1"/>
  <c r="D2187" i="1"/>
  <c r="E2187" i="1"/>
  <c r="F2187" i="1"/>
  <c r="G2187" i="1"/>
  <c r="H2187" i="1"/>
  <c r="I2187" i="1"/>
  <c r="C1508" i="1"/>
  <c r="D1508" i="1"/>
  <c r="E1508" i="1"/>
  <c r="F1508" i="1"/>
  <c r="G1508" i="1"/>
  <c r="H1508" i="1"/>
  <c r="I1508" i="1"/>
  <c r="C1660" i="1"/>
  <c r="D1660" i="1"/>
  <c r="E1660" i="1"/>
  <c r="F1660" i="1"/>
  <c r="G1660" i="1"/>
  <c r="H1660" i="1"/>
  <c r="I1660" i="1"/>
  <c r="C4243" i="1"/>
  <c r="D4243" i="1"/>
  <c r="E4243" i="1"/>
  <c r="F4243" i="1"/>
  <c r="G4243" i="1"/>
  <c r="H4243" i="1"/>
  <c r="I4243" i="1"/>
  <c r="C1661" i="1"/>
  <c r="D1661" i="1"/>
  <c r="E1661" i="1"/>
  <c r="F1661" i="1"/>
  <c r="G1661" i="1"/>
  <c r="H1661" i="1"/>
  <c r="I1661" i="1"/>
  <c r="C1931" i="1"/>
  <c r="D1931" i="1"/>
  <c r="E1931" i="1"/>
  <c r="F1931" i="1"/>
  <c r="G1931" i="1"/>
  <c r="H1931" i="1"/>
  <c r="I1931" i="1"/>
  <c r="C1932" i="1"/>
  <c r="D1932" i="1"/>
  <c r="E1932" i="1"/>
  <c r="F1932" i="1"/>
  <c r="G1932" i="1"/>
  <c r="H1932" i="1"/>
  <c r="I1932" i="1"/>
  <c r="C4234" i="1"/>
  <c r="D4234" i="1"/>
  <c r="E4234" i="1"/>
  <c r="F4234" i="1"/>
  <c r="G4234" i="1"/>
  <c r="H4234" i="1"/>
  <c r="I4234" i="1"/>
  <c r="C4232" i="1"/>
  <c r="D4232" i="1"/>
  <c r="E4232" i="1"/>
  <c r="F4232" i="1"/>
  <c r="G4232" i="1"/>
  <c r="H4232" i="1"/>
  <c r="I4232" i="1"/>
  <c r="C4231" i="1"/>
  <c r="D4231" i="1"/>
  <c r="E4231" i="1"/>
  <c r="F4231" i="1"/>
  <c r="G4231" i="1"/>
  <c r="H4231" i="1"/>
  <c r="I4231" i="1"/>
  <c r="C4228" i="1"/>
  <c r="D4228" i="1"/>
  <c r="E4228" i="1"/>
  <c r="F4228" i="1"/>
  <c r="G4228" i="1"/>
  <c r="H4228" i="1"/>
  <c r="I4228" i="1"/>
  <c r="C3655" i="1"/>
  <c r="D3655" i="1"/>
  <c r="E3655" i="1"/>
  <c r="F3655" i="1"/>
  <c r="G3655" i="1"/>
  <c r="H3655" i="1"/>
  <c r="I3655" i="1"/>
  <c r="C2882" i="1"/>
  <c r="D2882" i="1"/>
  <c r="E2882" i="1"/>
  <c r="F2882" i="1"/>
  <c r="G2882" i="1"/>
  <c r="H2882" i="1"/>
  <c r="I2882" i="1"/>
  <c r="C2792" i="1"/>
  <c r="D2792" i="1"/>
  <c r="E2792" i="1"/>
  <c r="F2792" i="1"/>
  <c r="G2792" i="1"/>
  <c r="H2792" i="1"/>
  <c r="I2792" i="1"/>
  <c r="C2678" i="1"/>
  <c r="D2678" i="1"/>
  <c r="E2678" i="1"/>
  <c r="F2678" i="1"/>
  <c r="G2678" i="1"/>
  <c r="H2678" i="1"/>
  <c r="I2678" i="1"/>
  <c r="C2188" i="1"/>
  <c r="D2188" i="1"/>
  <c r="E2188" i="1"/>
  <c r="F2188" i="1"/>
  <c r="G2188" i="1"/>
  <c r="H2188" i="1"/>
  <c r="I2188" i="1"/>
  <c r="C1509" i="1"/>
  <c r="D1509" i="1"/>
  <c r="E1509" i="1"/>
  <c r="F1509" i="1"/>
  <c r="G1509" i="1"/>
  <c r="H1509" i="1"/>
  <c r="I1509" i="1"/>
  <c r="C4405" i="1"/>
  <c r="D4405" i="1"/>
  <c r="E4405" i="1"/>
  <c r="F4405" i="1"/>
  <c r="G4405" i="1"/>
  <c r="H4405" i="1"/>
  <c r="I4405" i="1"/>
  <c r="C4406" i="1"/>
  <c r="D4406" i="1"/>
  <c r="E4406" i="1"/>
  <c r="F4406" i="1"/>
  <c r="G4406" i="1"/>
  <c r="H4406" i="1"/>
  <c r="I4406" i="1"/>
  <c r="C1096" i="1"/>
  <c r="D1096" i="1"/>
  <c r="E1096" i="1"/>
  <c r="F1096" i="1"/>
  <c r="G1096" i="1"/>
  <c r="H1096" i="1"/>
  <c r="I1096" i="1"/>
  <c r="C1374" i="1"/>
  <c r="D1374" i="1"/>
  <c r="E1374" i="1"/>
  <c r="F1374" i="1"/>
  <c r="G1374" i="1"/>
  <c r="H1374" i="1"/>
  <c r="I1374" i="1"/>
  <c r="C1097" i="1"/>
  <c r="D1097" i="1"/>
  <c r="E1097" i="1"/>
  <c r="F1097" i="1"/>
  <c r="G1097" i="1"/>
  <c r="H1097" i="1"/>
  <c r="I1097" i="1"/>
  <c r="C968" i="1"/>
  <c r="D968" i="1"/>
  <c r="E968" i="1"/>
  <c r="F968" i="1"/>
  <c r="G968" i="1"/>
  <c r="H968" i="1"/>
  <c r="I968" i="1"/>
  <c r="C2455" i="1"/>
  <c r="D2455" i="1"/>
  <c r="E2455" i="1"/>
  <c r="F2455" i="1"/>
  <c r="G2455" i="1"/>
  <c r="H2455" i="1"/>
  <c r="I2455" i="1"/>
  <c r="C2208" i="1"/>
  <c r="D2208" i="1"/>
  <c r="E2208" i="1"/>
  <c r="F2208" i="1"/>
  <c r="G2208" i="1"/>
  <c r="H2208" i="1"/>
  <c r="I2208" i="1"/>
  <c r="C2877" i="1"/>
  <c r="D2877" i="1"/>
  <c r="E2877" i="1"/>
  <c r="F2877" i="1"/>
  <c r="G2877" i="1"/>
  <c r="H2877" i="1"/>
  <c r="I2877" i="1"/>
  <c r="C4407" i="1"/>
  <c r="D4407" i="1"/>
  <c r="E4407" i="1"/>
  <c r="F4407" i="1"/>
  <c r="G4407" i="1"/>
  <c r="H4407" i="1"/>
  <c r="I4407" i="1"/>
  <c r="C3272" i="1"/>
  <c r="D3272" i="1"/>
  <c r="E3272" i="1"/>
  <c r="F3272" i="1"/>
  <c r="G3272" i="1"/>
  <c r="H3272" i="1"/>
  <c r="I3272" i="1"/>
  <c r="C2952" i="1"/>
  <c r="D2952" i="1"/>
  <c r="E2952" i="1"/>
  <c r="F2952" i="1"/>
  <c r="G2952" i="1"/>
  <c r="H2952" i="1"/>
  <c r="I2952" i="1"/>
  <c r="C3584" i="1"/>
  <c r="D3584" i="1"/>
  <c r="E3584" i="1"/>
  <c r="F3584" i="1"/>
  <c r="G3584" i="1"/>
  <c r="H3584" i="1"/>
  <c r="I3584" i="1"/>
  <c r="C2883" i="1"/>
  <c r="D2883" i="1"/>
  <c r="E2883" i="1"/>
  <c r="F2883" i="1"/>
  <c r="G2883" i="1"/>
  <c r="H2883" i="1"/>
  <c r="I2883" i="1"/>
  <c r="C2558" i="1"/>
  <c r="D2558" i="1"/>
  <c r="E2558" i="1"/>
  <c r="F2558" i="1"/>
  <c r="G2558" i="1"/>
  <c r="H2558" i="1"/>
  <c r="I2558" i="1"/>
  <c r="C2798" i="1"/>
  <c r="D2798" i="1"/>
  <c r="E2798" i="1"/>
  <c r="F2798" i="1"/>
  <c r="G2798" i="1"/>
  <c r="H2798" i="1"/>
  <c r="I2798" i="1"/>
  <c r="C4094" i="1"/>
  <c r="D4094" i="1"/>
  <c r="E4094" i="1"/>
  <c r="F4094" i="1"/>
  <c r="G4094" i="1"/>
  <c r="H4094" i="1"/>
  <c r="I4094" i="1"/>
  <c r="C2559" i="1"/>
  <c r="D2559" i="1"/>
  <c r="E2559" i="1"/>
  <c r="F2559" i="1"/>
  <c r="G2559" i="1"/>
  <c r="H2559" i="1"/>
  <c r="I2559" i="1"/>
  <c r="C2690" i="1"/>
  <c r="D2690" i="1"/>
  <c r="E2690" i="1"/>
  <c r="F2690" i="1"/>
  <c r="G2690" i="1"/>
  <c r="H2690" i="1"/>
  <c r="I2690" i="1"/>
  <c r="C3334" i="1"/>
  <c r="D3334" i="1"/>
  <c r="E3334" i="1"/>
  <c r="F3334" i="1"/>
  <c r="G3334" i="1"/>
  <c r="H3334" i="1"/>
  <c r="I3334" i="1"/>
  <c r="C3481" i="1"/>
  <c r="D3481" i="1"/>
  <c r="E3481" i="1"/>
  <c r="F3481" i="1"/>
  <c r="G3481" i="1"/>
  <c r="H3481" i="1"/>
  <c r="I3481" i="1"/>
  <c r="C2575" i="1"/>
  <c r="D2575" i="1"/>
  <c r="E2575" i="1"/>
  <c r="F2575" i="1"/>
  <c r="G2575" i="1"/>
  <c r="H2575" i="1"/>
  <c r="I2575" i="1"/>
  <c r="C2885" i="1"/>
  <c r="D2885" i="1"/>
  <c r="E2885" i="1"/>
  <c r="F2885" i="1"/>
  <c r="G2885" i="1"/>
  <c r="H2885" i="1"/>
  <c r="I2885" i="1"/>
  <c r="C2194" i="1"/>
  <c r="D2194" i="1"/>
  <c r="E2194" i="1"/>
  <c r="F2194" i="1"/>
  <c r="G2194" i="1"/>
  <c r="H2194" i="1"/>
  <c r="I2194" i="1"/>
  <c r="C4136" i="1"/>
  <c r="D4136" i="1"/>
  <c r="E4136" i="1"/>
  <c r="F4136" i="1"/>
  <c r="G4136" i="1"/>
  <c r="H4136" i="1"/>
  <c r="I4136" i="1"/>
  <c r="C1662" i="1"/>
  <c r="D1662" i="1"/>
  <c r="E1662" i="1"/>
  <c r="F1662" i="1"/>
  <c r="G1662" i="1"/>
  <c r="H1662" i="1"/>
  <c r="I1662" i="1"/>
  <c r="C4408" i="1"/>
  <c r="D4408" i="1"/>
  <c r="E4408" i="1"/>
  <c r="F4408" i="1"/>
  <c r="G4408" i="1"/>
  <c r="H4408" i="1"/>
  <c r="I4408" i="1"/>
  <c r="C4132" i="1"/>
  <c r="D4132" i="1"/>
  <c r="E4132" i="1"/>
  <c r="F4132" i="1"/>
  <c r="G4132" i="1"/>
  <c r="H4132" i="1"/>
  <c r="I4132" i="1"/>
  <c r="C4409" i="1"/>
  <c r="D4409" i="1"/>
  <c r="E4409" i="1"/>
  <c r="F4409" i="1"/>
  <c r="G4409" i="1"/>
  <c r="H4409" i="1"/>
  <c r="I4409" i="1"/>
  <c r="C4209" i="1"/>
  <c r="D4209" i="1"/>
  <c r="E4209" i="1"/>
  <c r="F4209" i="1"/>
  <c r="G4209" i="1"/>
  <c r="H4209" i="1"/>
  <c r="I4209" i="1"/>
  <c r="C3907" i="1"/>
  <c r="D3907" i="1"/>
  <c r="E3907" i="1"/>
  <c r="F3907" i="1"/>
  <c r="G3907" i="1"/>
  <c r="H3907" i="1"/>
  <c r="I3907" i="1"/>
  <c r="C3855" i="1"/>
  <c r="D3855" i="1"/>
  <c r="E3855" i="1"/>
  <c r="F3855" i="1"/>
  <c r="G3855" i="1"/>
  <c r="H3855" i="1"/>
  <c r="I3855" i="1"/>
  <c r="C4410" i="1"/>
  <c r="D4410" i="1"/>
  <c r="E4410" i="1"/>
  <c r="F4410" i="1"/>
  <c r="G4410" i="1"/>
  <c r="H4410" i="1"/>
  <c r="I4410" i="1"/>
  <c r="C3201" i="1"/>
  <c r="D3201" i="1"/>
  <c r="E3201" i="1"/>
  <c r="F3201" i="1"/>
  <c r="G3201" i="1"/>
  <c r="H3201" i="1"/>
  <c r="I3201" i="1"/>
  <c r="C3482" i="1"/>
  <c r="D3482" i="1"/>
  <c r="E3482" i="1"/>
  <c r="F3482" i="1"/>
  <c r="G3482" i="1"/>
  <c r="H3482" i="1"/>
  <c r="I3482" i="1"/>
  <c r="C3275" i="1"/>
  <c r="D3275" i="1"/>
  <c r="E3275" i="1"/>
  <c r="F3275" i="1"/>
  <c r="G3275" i="1"/>
  <c r="H3275" i="1"/>
  <c r="I3275" i="1"/>
  <c r="C360" i="1"/>
  <c r="D360" i="1"/>
  <c r="E360" i="1"/>
  <c r="F360" i="1"/>
  <c r="G360" i="1"/>
  <c r="H360" i="1"/>
  <c r="I360" i="1"/>
  <c r="C4235" i="1"/>
  <c r="D4235" i="1"/>
  <c r="E4235" i="1"/>
  <c r="F4235" i="1"/>
  <c r="G4235" i="1"/>
  <c r="H4235" i="1"/>
  <c r="I4235" i="1"/>
  <c r="C4233" i="1"/>
  <c r="D4233" i="1"/>
  <c r="E4233" i="1"/>
  <c r="F4233" i="1"/>
  <c r="G4233" i="1"/>
  <c r="H4233" i="1"/>
  <c r="I4233" i="1"/>
  <c r="C4411" i="1"/>
  <c r="D4411" i="1"/>
  <c r="E4411" i="1"/>
  <c r="F4411" i="1"/>
  <c r="G4411" i="1"/>
  <c r="H4411" i="1"/>
  <c r="I4411" i="1"/>
  <c r="C4229" i="1"/>
  <c r="D4229" i="1"/>
  <c r="E4229" i="1"/>
  <c r="F4229" i="1"/>
  <c r="G4229" i="1"/>
  <c r="H4229" i="1"/>
  <c r="I4229" i="1"/>
  <c r="C4268" i="1"/>
  <c r="D4268" i="1"/>
  <c r="E4268" i="1"/>
  <c r="F4268" i="1"/>
  <c r="G4268" i="1"/>
  <c r="H4268" i="1"/>
  <c r="I4268" i="1"/>
  <c r="C4412" i="1"/>
  <c r="D4412" i="1"/>
  <c r="E4412" i="1"/>
  <c r="F4412" i="1"/>
  <c r="G4412" i="1"/>
  <c r="H4412" i="1"/>
  <c r="I4412" i="1"/>
  <c r="C198" i="1"/>
  <c r="D198" i="1"/>
  <c r="E198" i="1"/>
  <c r="F198" i="1"/>
  <c r="G198" i="1"/>
  <c r="H198" i="1"/>
  <c r="I198" i="1"/>
  <c r="C4238" i="1"/>
  <c r="D4238" i="1"/>
  <c r="E4238" i="1"/>
  <c r="F4238" i="1"/>
  <c r="G4238" i="1"/>
  <c r="H4238" i="1"/>
  <c r="I4238" i="1"/>
  <c r="C4240" i="1"/>
  <c r="D4240" i="1"/>
  <c r="E4240" i="1"/>
  <c r="F4240" i="1"/>
  <c r="G4240" i="1"/>
  <c r="H4240" i="1"/>
  <c r="I4240" i="1"/>
  <c r="C4242" i="1"/>
  <c r="D4242" i="1"/>
  <c r="E4242" i="1"/>
  <c r="F4242" i="1"/>
  <c r="G4242" i="1"/>
  <c r="H4242" i="1"/>
  <c r="I4242" i="1"/>
  <c r="C361" i="1"/>
  <c r="D361" i="1"/>
  <c r="E361" i="1"/>
  <c r="F361" i="1"/>
  <c r="G361" i="1"/>
  <c r="H361" i="1"/>
  <c r="I361" i="1"/>
  <c r="C4246" i="1"/>
  <c r="D4246" i="1"/>
  <c r="E4246" i="1"/>
  <c r="F4246" i="1"/>
  <c r="G4246" i="1"/>
  <c r="H4246" i="1"/>
  <c r="I4246" i="1"/>
  <c r="C4248" i="1"/>
  <c r="D4248" i="1"/>
  <c r="E4248" i="1"/>
  <c r="F4248" i="1"/>
  <c r="G4248" i="1"/>
  <c r="H4248" i="1"/>
  <c r="I4248" i="1"/>
  <c r="C4250" i="1"/>
  <c r="D4250" i="1"/>
  <c r="E4250" i="1"/>
  <c r="F4250" i="1"/>
  <c r="G4250" i="1"/>
  <c r="H4250" i="1"/>
  <c r="I4250" i="1"/>
  <c r="C1933" i="1"/>
  <c r="D1933" i="1"/>
  <c r="E1933" i="1"/>
  <c r="F1933" i="1"/>
  <c r="G1933" i="1"/>
  <c r="H1933" i="1"/>
  <c r="I1933" i="1"/>
  <c r="C4413" i="1"/>
  <c r="D4413" i="1"/>
  <c r="E4413" i="1"/>
  <c r="F4413" i="1"/>
  <c r="G4413" i="1"/>
  <c r="H4413" i="1"/>
  <c r="I4413" i="1"/>
  <c r="C2195" i="1"/>
  <c r="D2195" i="1"/>
  <c r="E2195" i="1"/>
  <c r="F2195" i="1"/>
  <c r="G2195" i="1"/>
  <c r="H2195" i="1"/>
  <c r="I2195" i="1"/>
  <c r="C1934" i="1"/>
  <c r="D1934" i="1"/>
  <c r="E1934" i="1"/>
  <c r="F1934" i="1"/>
  <c r="G1934" i="1"/>
  <c r="H1934" i="1"/>
  <c r="I1934" i="1"/>
  <c r="C4255" i="1"/>
  <c r="D4255" i="1"/>
  <c r="E4255" i="1"/>
  <c r="F4255" i="1"/>
  <c r="G4255" i="1"/>
  <c r="H4255" i="1"/>
  <c r="I4255" i="1"/>
  <c r="C4256" i="1"/>
  <c r="D4256" i="1"/>
  <c r="E4256" i="1"/>
  <c r="F4256" i="1"/>
  <c r="G4256" i="1"/>
  <c r="H4256" i="1"/>
  <c r="I4256" i="1"/>
  <c r="C4257" i="1"/>
  <c r="D4257" i="1"/>
  <c r="E4257" i="1"/>
  <c r="F4257" i="1"/>
  <c r="G4257" i="1"/>
  <c r="H4257" i="1"/>
  <c r="I4257" i="1"/>
  <c r="C4258" i="1"/>
  <c r="D4258" i="1"/>
  <c r="E4258" i="1"/>
  <c r="F4258" i="1"/>
  <c r="G4258" i="1"/>
  <c r="H4258" i="1"/>
  <c r="I4258" i="1"/>
  <c r="C3856" i="1"/>
  <c r="D3856" i="1"/>
  <c r="E3856" i="1"/>
  <c r="F3856" i="1"/>
  <c r="G3856" i="1"/>
  <c r="H3856" i="1"/>
  <c r="I3856" i="1"/>
  <c r="C4414" i="1"/>
  <c r="D4414" i="1"/>
  <c r="E4414" i="1"/>
  <c r="F4414" i="1"/>
  <c r="G4414" i="1"/>
  <c r="H4414" i="1"/>
  <c r="I4414" i="1"/>
  <c r="C2189" i="1"/>
  <c r="D2189" i="1"/>
  <c r="E2189" i="1"/>
  <c r="F2189" i="1"/>
  <c r="G2189" i="1"/>
  <c r="H2189" i="1"/>
  <c r="I2189" i="1"/>
  <c r="C4262" i="1"/>
  <c r="D4262" i="1"/>
  <c r="E4262" i="1"/>
  <c r="F4262" i="1"/>
  <c r="G4262" i="1"/>
  <c r="H4262" i="1"/>
  <c r="I4262" i="1"/>
  <c r="C4263" i="1"/>
  <c r="D4263" i="1"/>
  <c r="E4263" i="1"/>
  <c r="F4263" i="1"/>
  <c r="G4263" i="1"/>
  <c r="H4263" i="1"/>
  <c r="I4263" i="1"/>
  <c r="C3351" i="1"/>
  <c r="D3351" i="1"/>
  <c r="E3351" i="1"/>
  <c r="F3351" i="1"/>
  <c r="G3351" i="1"/>
  <c r="H3351" i="1"/>
  <c r="I3351" i="1"/>
  <c r="C1935" i="1"/>
  <c r="D1935" i="1"/>
  <c r="E1935" i="1"/>
  <c r="F1935" i="1"/>
  <c r="G1935" i="1"/>
  <c r="H1935" i="1"/>
  <c r="I1935" i="1"/>
  <c r="C4266" i="1"/>
  <c r="D4266" i="1"/>
  <c r="E4266" i="1"/>
  <c r="F4266" i="1"/>
  <c r="G4266" i="1"/>
  <c r="H4266" i="1"/>
  <c r="I4266" i="1"/>
  <c r="C4415" i="1"/>
  <c r="D4415" i="1"/>
  <c r="E4415" i="1"/>
  <c r="F4415" i="1"/>
  <c r="G4415" i="1"/>
  <c r="H4415" i="1"/>
  <c r="I4415" i="1"/>
  <c r="C3059" i="1"/>
  <c r="D3059" i="1"/>
  <c r="E3059" i="1"/>
  <c r="F3059" i="1"/>
  <c r="G3059" i="1"/>
  <c r="H3059" i="1"/>
  <c r="I3059" i="1"/>
  <c r="C2302" i="1"/>
  <c r="D2302" i="1"/>
  <c r="E2302" i="1"/>
  <c r="F2302" i="1"/>
  <c r="G2302" i="1"/>
  <c r="H2302" i="1"/>
  <c r="I2302" i="1"/>
  <c r="C834" i="1"/>
  <c r="D834" i="1"/>
  <c r="E834" i="1"/>
  <c r="F834" i="1"/>
  <c r="G834" i="1"/>
  <c r="H834" i="1"/>
  <c r="I834" i="1"/>
  <c r="C4271" i="1"/>
  <c r="D4271" i="1"/>
  <c r="E4271" i="1"/>
  <c r="F4271" i="1"/>
  <c r="G4271" i="1"/>
  <c r="H4271" i="1"/>
  <c r="I4271" i="1"/>
  <c r="C3269" i="1"/>
  <c r="D3269" i="1"/>
  <c r="E3269" i="1"/>
  <c r="F3269" i="1"/>
  <c r="G3269" i="1"/>
  <c r="H3269" i="1"/>
  <c r="I3269" i="1"/>
  <c r="C2064" i="1"/>
  <c r="D2064" i="1"/>
  <c r="E2064" i="1"/>
  <c r="F2064" i="1"/>
  <c r="G2064" i="1"/>
  <c r="H2064" i="1"/>
  <c r="I2064" i="1"/>
  <c r="C4416" i="1"/>
  <c r="D4416" i="1"/>
  <c r="E4416" i="1"/>
  <c r="F4416" i="1"/>
  <c r="G4416" i="1"/>
  <c r="H4416" i="1"/>
  <c r="I4416" i="1"/>
  <c r="C4062" i="1"/>
  <c r="D4062" i="1"/>
  <c r="E4062" i="1"/>
  <c r="F4062" i="1"/>
  <c r="G4062" i="1"/>
  <c r="H4062" i="1"/>
  <c r="I4062" i="1"/>
  <c r="C4417" i="1"/>
  <c r="D4417" i="1"/>
  <c r="E4417" i="1"/>
  <c r="F4417" i="1"/>
  <c r="G4417" i="1"/>
  <c r="H4417" i="1"/>
  <c r="I4417" i="1"/>
  <c r="C3967" i="1"/>
  <c r="D3967" i="1"/>
  <c r="E3967" i="1"/>
  <c r="F3967" i="1"/>
  <c r="G3967" i="1"/>
  <c r="H3967" i="1"/>
  <c r="I3967" i="1"/>
  <c r="C3758" i="1"/>
  <c r="D3758" i="1"/>
  <c r="E3758" i="1"/>
  <c r="F3758" i="1"/>
  <c r="G3758" i="1"/>
  <c r="H3758" i="1"/>
  <c r="I3758" i="1"/>
  <c r="C3123" i="1"/>
  <c r="D3123" i="1"/>
  <c r="E3123" i="1"/>
  <c r="F3123" i="1"/>
  <c r="G3123" i="1"/>
  <c r="H3123" i="1"/>
  <c r="I3123" i="1"/>
  <c r="C4280" i="1"/>
  <c r="D4280" i="1"/>
  <c r="E4280" i="1"/>
  <c r="F4280" i="1"/>
  <c r="G4280" i="1"/>
  <c r="H4280" i="1"/>
  <c r="I4280" i="1"/>
  <c r="C3585" i="1"/>
  <c r="D3585" i="1"/>
  <c r="E3585" i="1"/>
  <c r="F3585" i="1"/>
  <c r="G3585" i="1"/>
  <c r="H3585" i="1"/>
  <c r="I3585" i="1"/>
  <c r="C4282" i="1"/>
  <c r="D4282" i="1"/>
  <c r="E4282" i="1"/>
  <c r="F4282" i="1"/>
  <c r="G4282" i="1"/>
  <c r="H4282" i="1"/>
  <c r="I4282" i="1"/>
  <c r="C4289" i="1"/>
  <c r="D4289" i="1"/>
  <c r="E4289" i="1"/>
  <c r="F4289" i="1"/>
  <c r="G4289" i="1"/>
  <c r="H4289" i="1"/>
  <c r="I4289" i="1"/>
  <c r="C4284" i="1"/>
  <c r="D4284" i="1"/>
  <c r="E4284" i="1"/>
  <c r="F4284" i="1"/>
  <c r="G4284" i="1"/>
  <c r="H4284" i="1"/>
  <c r="I4284" i="1"/>
  <c r="C3526" i="1"/>
  <c r="D3526" i="1"/>
  <c r="E3526" i="1"/>
  <c r="F3526" i="1"/>
  <c r="G3526" i="1"/>
  <c r="H3526" i="1"/>
  <c r="I3526" i="1"/>
  <c r="C3527" i="1"/>
  <c r="D3527" i="1"/>
  <c r="E3527" i="1"/>
  <c r="F3527" i="1"/>
  <c r="G3527" i="1"/>
  <c r="H3527" i="1"/>
  <c r="I3527" i="1"/>
  <c r="C4287" i="1"/>
  <c r="D4287" i="1"/>
  <c r="E4287" i="1"/>
  <c r="F4287" i="1"/>
  <c r="G4287" i="1"/>
  <c r="H4287" i="1"/>
  <c r="I4287" i="1"/>
  <c r="C3335" i="1"/>
  <c r="D3335" i="1"/>
  <c r="E3335" i="1"/>
  <c r="F3335" i="1"/>
  <c r="G3335" i="1"/>
  <c r="H3335" i="1"/>
  <c r="I3335" i="1"/>
  <c r="C3586" i="1"/>
  <c r="D3586" i="1"/>
  <c r="E3586" i="1"/>
  <c r="F3586" i="1"/>
  <c r="G3586" i="1"/>
  <c r="H3586" i="1"/>
  <c r="I3586" i="1"/>
  <c r="C3587" i="1"/>
  <c r="D3587" i="1"/>
  <c r="E3587" i="1"/>
  <c r="F3587" i="1"/>
  <c r="G3587" i="1"/>
  <c r="H3587" i="1"/>
  <c r="I3587" i="1"/>
  <c r="C969" i="1"/>
  <c r="D969" i="1"/>
  <c r="E969" i="1"/>
  <c r="F969" i="1"/>
  <c r="G969" i="1"/>
  <c r="H969" i="1"/>
  <c r="I969" i="1"/>
  <c r="C4418" i="1"/>
  <c r="D4418" i="1"/>
  <c r="E4418" i="1"/>
  <c r="F4418" i="1"/>
  <c r="G4418" i="1"/>
  <c r="H4418" i="1"/>
  <c r="I4418" i="1"/>
  <c r="C4419" i="1"/>
  <c r="D4419" i="1"/>
  <c r="E4419" i="1"/>
  <c r="F4419" i="1"/>
  <c r="G4419" i="1"/>
  <c r="H4419" i="1"/>
  <c r="I4419" i="1"/>
  <c r="C3695" i="1"/>
  <c r="D3695" i="1"/>
  <c r="E3695" i="1"/>
  <c r="F3695" i="1"/>
  <c r="G3695" i="1"/>
  <c r="H3695" i="1"/>
  <c r="I3695" i="1"/>
  <c r="C174" i="1"/>
  <c r="D174" i="1"/>
  <c r="E174" i="1"/>
  <c r="F174" i="1"/>
  <c r="G174" i="1"/>
  <c r="H174" i="1"/>
  <c r="I174" i="1"/>
  <c r="C175" i="1"/>
  <c r="D175" i="1"/>
  <c r="E175" i="1"/>
  <c r="F175" i="1"/>
  <c r="G175" i="1"/>
  <c r="H175" i="1"/>
  <c r="I175" i="1"/>
  <c r="C176" i="1"/>
  <c r="D176" i="1"/>
  <c r="E176" i="1"/>
  <c r="F176" i="1"/>
  <c r="G176" i="1"/>
  <c r="H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C181" i="1"/>
  <c r="D181" i="1"/>
  <c r="E181" i="1"/>
  <c r="F181" i="1"/>
  <c r="G181" i="1"/>
  <c r="H181" i="1"/>
  <c r="I181" i="1"/>
  <c r="C182" i="1"/>
  <c r="D182" i="1"/>
  <c r="E182" i="1"/>
  <c r="F182" i="1"/>
  <c r="G182" i="1"/>
  <c r="H182" i="1"/>
  <c r="I182" i="1"/>
  <c r="C183" i="1"/>
  <c r="D183" i="1"/>
  <c r="E183" i="1"/>
  <c r="F183" i="1"/>
  <c r="G183" i="1"/>
  <c r="H183" i="1"/>
  <c r="I183" i="1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22" i="1"/>
  <c r="D122" i="1"/>
  <c r="E122" i="1"/>
  <c r="F122" i="1"/>
  <c r="G122" i="1"/>
  <c r="H122" i="1"/>
  <c r="I122" i="1"/>
  <c r="C123" i="1"/>
  <c r="D123" i="1"/>
  <c r="E123" i="1"/>
  <c r="F123" i="1"/>
  <c r="G123" i="1"/>
  <c r="H123" i="1"/>
  <c r="I123" i="1"/>
  <c r="C124" i="1"/>
  <c r="D124" i="1"/>
  <c r="E124" i="1"/>
  <c r="F124" i="1"/>
  <c r="G124" i="1"/>
  <c r="H124" i="1"/>
  <c r="I124" i="1"/>
  <c r="C125" i="1"/>
  <c r="D125" i="1"/>
  <c r="E125" i="1"/>
  <c r="F125" i="1"/>
  <c r="G125" i="1"/>
  <c r="H125" i="1"/>
  <c r="I125" i="1"/>
  <c r="C126" i="1"/>
  <c r="D126" i="1"/>
  <c r="E126" i="1"/>
  <c r="F126" i="1"/>
  <c r="G126" i="1"/>
  <c r="H126" i="1"/>
  <c r="I126" i="1"/>
  <c r="C127" i="1"/>
  <c r="D127" i="1"/>
  <c r="E127" i="1"/>
  <c r="F127" i="1"/>
  <c r="G127" i="1"/>
  <c r="H127" i="1"/>
  <c r="I127" i="1"/>
  <c r="C128" i="1"/>
  <c r="D128" i="1"/>
  <c r="E128" i="1"/>
  <c r="F128" i="1"/>
  <c r="G128" i="1"/>
  <c r="H128" i="1"/>
  <c r="I128" i="1"/>
  <c r="C129" i="1"/>
  <c r="D129" i="1"/>
  <c r="E129" i="1"/>
  <c r="F129" i="1"/>
  <c r="G129" i="1"/>
  <c r="H129" i="1"/>
  <c r="I129" i="1"/>
  <c r="C130" i="1"/>
  <c r="D130" i="1"/>
  <c r="E130" i="1"/>
  <c r="F130" i="1"/>
  <c r="G130" i="1"/>
  <c r="H130" i="1"/>
  <c r="I130" i="1"/>
  <c r="C131" i="1"/>
  <c r="D131" i="1"/>
  <c r="E131" i="1"/>
  <c r="F131" i="1"/>
  <c r="G131" i="1"/>
  <c r="H131" i="1"/>
  <c r="I131" i="1"/>
  <c r="C132" i="1"/>
  <c r="D132" i="1"/>
  <c r="E132" i="1"/>
  <c r="F132" i="1"/>
  <c r="G132" i="1"/>
  <c r="H132" i="1"/>
  <c r="I132" i="1"/>
  <c r="C133" i="1"/>
  <c r="D133" i="1"/>
  <c r="E133" i="1"/>
  <c r="F133" i="1"/>
  <c r="G133" i="1"/>
  <c r="H133" i="1"/>
  <c r="I133" i="1"/>
  <c r="C134" i="1"/>
  <c r="D134" i="1"/>
  <c r="E134" i="1"/>
  <c r="F134" i="1"/>
  <c r="G134" i="1"/>
  <c r="H134" i="1"/>
  <c r="I134" i="1"/>
  <c r="C135" i="1"/>
  <c r="D135" i="1"/>
  <c r="E135" i="1"/>
  <c r="F135" i="1"/>
  <c r="G135" i="1"/>
  <c r="H135" i="1"/>
  <c r="I135" i="1"/>
  <c r="C136" i="1"/>
  <c r="D136" i="1"/>
  <c r="E136" i="1"/>
  <c r="F136" i="1"/>
  <c r="G136" i="1"/>
  <c r="H136" i="1"/>
  <c r="I136" i="1"/>
  <c r="C137" i="1"/>
  <c r="D137" i="1"/>
  <c r="E137" i="1"/>
  <c r="F137" i="1"/>
  <c r="G137" i="1"/>
  <c r="H137" i="1"/>
  <c r="I137" i="1"/>
  <c r="C138" i="1"/>
  <c r="D138" i="1"/>
  <c r="E138" i="1"/>
  <c r="F138" i="1"/>
  <c r="G138" i="1"/>
  <c r="H138" i="1"/>
  <c r="I138" i="1"/>
  <c r="C151" i="1"/>
  <c r="D151" i="1"/>
  <c r="E151" i="1"/>
  <c r="F151" i="1"/>
  <c r="G151" i="1"/>
  <c r="H151" i="1"/>
  <c r="I151" i="1"/>
  <c r="C150" i="1"/>
  <c r="D150" i="1"/>
  <c r="E150" i="1"/>
  <c r="F150" i="1"/>
  <c r="G150" i="1"/>
  <c r="H150" i="1"/>
  <c r="I150" i="1"/>
  <c r="C149" i="1"/>
  <c r="D149" i="1"/>
  <c r="E149" i="1"/>
  <c r="F149" i="1"/>
  <c r="G149" i="1"/>
  <c r="H149" i="1"/>
  <c r="I149" i="1"/>
  <c r="C148" i="1"/>
  <c r="D148" i="1"/>
  <c r="E148" i="1"/>
  <c r="F148" i="1"/>
  <c r="G148" i="1"/>
  <c r="H148" i="1"/>
  <c r="I148" i="1"/>
  <c r="C147" i="1"/>
  <c r="D147" i="1"/>
  <c r="E147" i="1"/>
  <c r="F147" i="1"/>
  <c r="G147" i="1"/>
  <c r="H147" i="1"/>
  <c r="I147" i="1"/>
  <c r="C4244" i="1"/>
  <c r="D4244" i="1"/>
  <c r="E4244" i="1"/>
  <c r="F4244" i="1"/>
  <c r="G4244" i="1"/>
  <c r="H4244" i="1"/>
  <c r="I4244" i="1"/>
  <c r="C145" i="1"/>
  <c r="D145" i="1"/>
  <c r="E145" i="1"/>
  <c r="F145" i="1"/>
  <c r="G145" i="1"/>
  <c r="H145" i="1"/>
  <c r="I145" i="1"/>
  <c r="C139" i="1"/>
  <c r="D139" i="1"/>
  <c r="E139" i="1"/>
  <c r="F139" i="1"/>
  <c r="G139" i="1"/>
  <c r="H139" i="1"/>
  <c r="I139" i="1"/>
  <c r="C140" i="1"/>
  <c r="D140" i="1"/>
  <c r="E140" i="1"/>
  <c r="F140" i="1"/>
  <c r="G140" i="1"/>
  <c r="H140" i="1"/>
  <c r="I140" i="1"/>
  <c r="C87" i="1"/>
  <c r="D87" i="1"/>
  <c r="E87" i="1"/>
  <c r="F87" i="1"/>
  <c r="G87" i="1"/>
  <c r="H87" i="1"/>
  <c r="I87" i="1"/>
  <c r="C88" i="1"/>
  <c r="D88" i="1"/>
  <c r="E88" i="1"/>
  <c r="F88" i="1"/>
  <c r="G88" i="1"/>
  <c r="H88" i="1"/>
  <c r="I88" i="1"/>
  <c r="C89" i="1"/>
  <c r="D89" i="1"/>
  <c r="E89" i="1"/>
  <c r="F89" i="1"/>
  <c r="G89" i="1"/>
  <c r="H89" i="1"/>
  <c r="I89" i="1"/>
  <c r="C90" i="1"/>
  <c r="D90" i="1"/>
  <c r="E90" i="1"/>
  <c r="F90" i="1"/>
  <c r="G90" i="1"/>
  <c r="H90" i="1"/>
  <c r="I90" i="1"/>
  <c r="C91" i="1"/>
  <c r="D91" i="1"/>
  <c r="E91" i="1"/>
  <c r="F91" i="1"/>
  <c r="G91" i="1"/>
  <c r="H91" i="1"/>
  <c r="I91" i="1"/>
  <c r="C92" i="1"/>
  <c r="D92" i="1"/>
  <c r="E92" i="1"/>
  <c r="F92" i="1"/>
  <c r="G92" i="1"/>
  <c r="H92" i="1"/>
  <c r="I92" i="1"/>
  <c r="C93" i="1"/>
  <c r="D93" i="1"/>
  <c r="E93" i="1"/>
  <c r="F93" i="1"/>
  <c r="G93" i="1"/>
  <c r="H93" i="1"/>
  <c r="I93" i="1"/>
  <c r="C94" i="1"/>
  <c r="D94" i="1"/>
  <c r="E94" i="1"/>
  <c r="F94" i="1"/>
  <c r="G94" i="1"/>
  <c r="H94" i="1"/>
  <c r="I94" i="1"/>
  <c r="C95" i="1"/>
  <c r="D95" i="1"/>
  <c r="E95" i="1"/>
  <c r="F95" i="1"/>
  <c r="G95" i="1"/>
  <c r="H95" i="1"/>
  <c r="I95" i="1"/>
  <c r="C96" i="1"/>
  <c r="D96" i="1"/>
  <c r="E96" i="1"/>
  <c r="F96" i="1"/>
  <c r="G96" i="1"/>
  <c r="H96" i="1"/>
  <c r="I96" i="1"/>
  <c r="C97" i="1"/>
  <c r="D97" i="1"/>
  <c r="E97" i="1"/>
  <c r="F97" i="1"/>
  <c r="G97" i="1"/>
  <c r="H97" i="1"/>
  <c r="I97" i="1"/>
  <c r="C98" i="1"/>
  <c r="D98" i="1"/>
  <c r="E98" i="1"/>
  <c r="F98" i="1"/>
  <c r="G98" i="1"/>
  <c r="H98" i="1"/>
  <c r="I98" i="1"/>
  <c r="C99" i="1"/>
  <c r="D99" i="1"/>
  <c r="E99" i="1"/>
  <c r="F99" i="1"/>
  <c r="G99" i="1"/>
  <c r="H99" i="1"/>
  <c r="I99" i="1"/>
  <c r="C100" i="1"/>
  <c r="D100" i="1"/>
  <c r="E100" i="1"/>
  <c r="F100" i="1"/>
  <c r="G100" i="1"/>
  <c r="H100" i="1"/>
  <c r="I100" i="1"/>
  <c r="C101" i="1"/>
  <c r="D101" i="1"/>
  <c r="E101" i="1"/>
  <c r="F101" i="1"/>
  <c r="G101" i="1"/>
  <c r="H101" i="1"/>
  <c r="I101" i="1"/>
  <c r="C102" i="1"/>
  <c r="D102" i="1"/>
  <c r="E102" i="1"/>
  <c r="F102" i="1"/>
  <c r="G102" i="1"/>
  <c r="H102" i="1"/>
  <c r="I102" i="1"/>
  <c r="C103" i="1"/>
  <c r="D103" i="1"/>
  <c r="E103" i="1"/>
  <c r="F103" i="1"/>
  <c r="G103" i="1"/>
  <c r="H103" i="1"/>
  <c r="I103" i="1"/>
  <c r="C104" i="1"/>
  <c r="D104" i="1"/>
  <c r="E104" i="1"/>
  <c r="F104" i="1"/>
  <c r="G104" i="1"/>
  <c r="H104" i="1"/>
  <c r="I104" i="1"/>
  <c r="C105" i="1"/>
  <c r="D105" i="1"/>
  <c r="E105" i="1"/>
  <c r="F105" i="1"/>
  <c r="G105" i="1"/>
  <c r="H105" i="1"/>
  <c r="I105" i="1"/>
  <c r="C106" i="1"/>
  <c r="D106" i="1"/>
  <c r="E106" i="1"/>
  <c r="F106" i="1"/>
  <c r="G106" i="1"/>
  <c r="H106" i="1"/>
  <c r="I106" i="1"/>
  <c r="C107" i="1"/>
  <c r="D107" i="1"/>
  <c r="E107" i="1"/>
  <c r="F107" i="1"/>
  <c r="G107" i="1"/>
  <c r="H107" i="1"/>
  <c r="I107" i="1"/>
  <c r="C108" i="1"/>
  <c r="D108" i="1"/>
  <c r="E108" i="1"/>
  <c r="F108" i="1"/>
  <c r="G108" i="1"/>
  <c r="H108" i="1"/>
  <c r="I108" i="1"/>
  <c r="C109" i="1"/>
  <c r="D109" i="1"/>
  <c r="E109" i="1"/>
  <c r="F109" i="1"/>
  <c r="G109" i="1"/>
  <c r="H109" i="1"/>
  <c r="I109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56" i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9" i="1"/>
  <c r="D59" i="1"/>
  <c r="E59" i="1"/>
  <c r="F59" i="1"/>
  <c r="G59" i="1"/>
  <c r="H59" i="1"/>
  <c r="I59" i="1"/>
  <c r="C60" i="1"/>
  <c r="D60" i="1"/>
  <c r="E60" i="1"/>
  <c r="F60" i="1"/>
  <c r="G60" i="1"/>
  <c r="H60" i="1"/>
  <c r="I60" i="1"/>
  <c r="C61" i="1"/>
  <c r="D61" i="1"/>
  <c r="E61" i="1"/>
  <c r="F61" i="1"/>
  <c r="G61" i="1"/>
  <c r="H61" i="1"/>
  <c r="I61" i="1"/>
  <c r="C62" i="1"/>
  <c r="D62" i="1"/>
  <c r="E62" i="1"/>
  <c r="F62" i="1"/>
  <c r="G62" i="1"/>
  <c r="H62" i="1"/>
  <c r="I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C65" i="1"/>
  <c r="D65" i="1"/>
  <c r="E65" i="1"/>
  <c r="F65" i="1"/>
  <c r="G65" i="1"/>
  <c r="H65" i="1"/>
  <c r="I65" i="1"/>
  <c r="C66" i="1"/>
  <c r="D66" i="1"/>
  <c r="E66" i="1"/>
  <c r="F66" i="1"/>
  <c r="G66" i="1"/>
  <c r="H66" i="1"/>
  <c r="I66" i="1"/>
  <c r="C67" i="1"/>
  <c r="D67" i="1"/>
  <c r="E67" i="1"/>
  <c r="F67" i="1"/>
  <c r="G67" i="1"/>
  <c r="H67" i="1"/>
  <c r="I67" i="1"/>
  <c r="C68" i="1"/>
  <c r="D68" i="1"/>
  <c r="E68" i="1"/>
  <c r="F68" i="1"/>
  <c r="G68" i="1"/>
  <c r="H68" i="1"/>
  <c r="I68" i="1"/>
  <c r="C69" i="1"/>
  <c r="D69" i="1"/>
  <c r="E69" i="1"/>
  <c r="F69" i="1"/>
  <c r="G69" i="1"/>
  <c r="H69" i="1"/>
  <c r="I69" i="1"/>
  <c r="C70" i="1"/>
  <c r="D70" i="1"/>
  <c r="E70" i="1"/>
  <c r="F70" i="1"/>
  <c r="G70" i="1"/>
  <c r="H70" i="1"/>
  <c r="I70" i="1"/>
  <c r="C71" i="1"/>
  <c r="D71" i="1"/>
  <c r="E71" i="1"/>
  <c r="F71" i="1"/>
  <c r="G71" i="1"/>
  <c r="H71" i="1"/>
  <c r="I71" i="1"/>
  <c r="C72" i="1"/>
  <c r="D72" i="1"/>
  <c r="E72" i="1"/>
  <c r="F72" i="1"/>
  <c r="G72" i="1"/>
  <c r="H72" i="1"/>
  <c r="I72" i="1"/>
  <c r="C73" i="1"/>
  <c r="D73" i="1"/>
  <c r="E73" i="1"/>
  <c r="F73" i="1"/>
  <c r="G73" i="1"/>
  <c r="H73" i="1"/>
  <c r="I73" i="1"/>
  <c r="C74" i="1"/>
  <c r="D74" i="1"/>
  <c r="E74" i="1"/>
  <c r="F74" i="1"/>
  <c r="G74" i="1"/>
  <c r="H74" i="1"/>
  <c r="I7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4033" i="1"/>
  <c r="D4033" i="1"/>
  <c r="E4033" i="1"/>
  <c r="F4033" i="1"/>
  <c r="G4033" i="1"/>
  <c r="H4033" i="1"/>
  <c r="I4033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48" i="1"/>
  <c r="D48" i="1"/>
  <c r="E48" i="1"/>
  <c r="F48" i="1"/>
  <c r="G48" i="1"/>
  <c r="H48" i="1"/>
  <c r="I48" i="1"/>
  <c r="C47" i="1"/>
  <c r="D47" i="1"/>
  <c r="E47" i="1"/>
  <c r="F47" i="1"/>
  <c r="G47" i="1"/>
  <c r="H47" i="1"/>
  <c r="I47" i="1"/>
  <c r="C45" i="1"/>
  <c r="D45" i="1"/>
  <c r="E45" i="1"/>
  <c r="F45" i="1"/>
  <c r="G45" i="1"/>
  <c r="H45" i="1"/>
  <c r="I45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6" i="1"/>
  <c r="D46" i="1"/>
  <c r="E46" i="1"/>
  <c r="F46" i="1"/>
  <c r="G46" i="1"/>
  <c r="H46" i="1"/>
  <c r="I46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23" i="1"/>
  <c r="D23" i="1"/>
  <c r="E23" i="1"/>
  <c r="F23" i="1"/>
  <c r="G23" i="1"/>
  <c r="H23" i="1"/>
  <c r="I23" i="1"/>
  <c r="C22" i="1"/>
  <c r="D22" i="1"/>
  <c r="E22" i="1"/>
  <c r="F22" i="1"/>
  <c r="G22" i="1"/>
  <c r="H22" i="1"/>
  <c r="I22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663" i="1"/>
  <c r="D1663" i="1"/>
  <c r="E1663" i="1"/>
  <c r="F1663" i="1"/>
  <c r="G1663" i="1"/>
  <c r="H1663" i="1"/>
  <c r="I166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70" i="1"/>
  <c r="D970" i="1"/>
  <c r="E970" i="1"/>
  <c r="F970" i="1"/>
  <c r="G970" i="1"/>
  <c r="H970" i="1"/>
  <c r="I970" i="1"/>
  <c r="C9" i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<sst xmlns="http://schemas.openxmlformats.org/spreadsheetml/2006/main" count="4304" uniqueCount="86">
  <si>
    <t>="Chicken said, "Cluck!""</t>
  </si>
  <si>
    <t>=""I don't care!" : learning about respect"</t>
  </si>
  <si>
    <t>O</t>
    <phoneticPr fontId="1" type="noConversion"/>
  </si>
  <si>
    <t/>
  </si>
  <si>
    <t>0.3</t>
  </si>
  <si>
    <t>0.4</t>
  </si>
  <si>
    <t>0.5</t>
  </si>
  <si>
    <t>0.6</t>
  </si>
  <si>
    <t>0.7</t>
  </si>
  <si>
    <t>0.8</t>
  </si>
  <si>
    <t>0.9</t>
  </si>
  <si>
    <t>1.0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</si>
  <si>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</si>
  <si>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</si>
  <si>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</si>
  <si>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</si>
  <si>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</si>
  <si>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</si>
  <si>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</si>
  <si>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</si>
  <si>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</si>
  <si>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</si>
  <si>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</si>
  <si>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</si>
  <si>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</si>
  <si>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</si>
  <si>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</si>
  <si>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</si>
  <si>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</si>
  <si>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</si>
  <si>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</si>
  <si>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</si>
  <si>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</si>
  <si>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</si>
  <si>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</si>
  <si>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</si>
  <si>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</si>
  <si>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</si>
  <si>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</si>
  <si>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</si>
  <si>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</si>
  <si>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</si>
  <si>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</si>
  <si>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</si>
  <si>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</si>
  <si>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</si>
  <si>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</si>
  <si>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</si>
  <si>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</si>
  <si>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</si>
  <si>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</si>
  <si>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</si>
  <si>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</si>
  <si>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</si>
  <si>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</si>
  <si>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</si>
  <si>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</si>
  <si>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</si>
  <si>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</si>
  <si>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</si>
  <si>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</si>
  <si>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</si>
  <si>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</si>
  <si>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</si>
  <si>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</si>
  <si>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</si>
  <si>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</si>
  <si>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</si>
  <si>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</si>
  <si>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</si>
  <si>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</si>
  <si>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7.0</t>
  </si>
  <si>
    <t>7.1</t>
  </si>
  <si>
    <t>7.2</t>
  </si>
  <si>
    <t>7.3</t>
  </si>
  <si>
    <t>7.4</t>
  </si>
  <si>
    <t>7.5</t>
  </si>
  <si>
    <t>7.7</t>
  </si>
  <si>
    <t>7.9</t>
  </si>
  <si>
    <t>8.0</t>
  </si>
  <si>
    <t>8.1</t>
  </si>
  <si>
    <t>8.2</t>
  </si>
  <si>
    <t>8.7</t>
  </si>
  <si>
    <t>8.9</t>
  </si>
  <si>
    <t>7.8</t>
  </si>
  <si>
    <t>레벨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</si>
</sst>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A409-C844-419E-A1FF-6D269E9B05FC}">
  <dimension ref="A1:I4419"/>
  <sheetViews>
    <sheetView tabSelected="1" workbookViewId="0">
      <selection activeCell="E10" sqref="E10"/>
    </sheetView>
  </sheetViews>
  <sheetFormatPr defaultRowHeight="16.5" x14ac:dyDescent="0.3"/>
  <cols>
    <col min="1" max="1" width="5.5" style="1" bestFit="1" customWidth="1"/>
    <col min="3" max="3" width="14" bestFit="1" customWidth="1"/>
    <col min="4" max="4" width="29.625" bestFit="1" customWidth="1"/>
    <col min="5" max="5" width="63.75" customWidth="1"/>
    <col min="6" max="6" width="21.875" customWidth="1"/>
    <col min="7" max="7" width="19.5" customWidth="1"/>
    <col min="8" max="8" width="11.5" style="1" bestFit="1" customWidth="1"/>
  </cols>
  <sheetData>
    <row r="1" spans="1:9" x14ac:dyDescent="0.3">
      <c r="A1" s="2" t="str">
        <f>""</f>
        <v/>
      </c>
      <c r="B1" s="2" t="s">
        <v>85</v>
      </c>
      <c r="C1" s="2" t="str">
        <f>"등록번호"</f>
        <v>등록번호</v>
      </c>
      <c r="D1" s="2" t="str">
        <f>"청구기호"</f>
        <v>청구기호</v>
      </c>
      <c r="E1" s="2" t="str">
        <f>"서명"</f>
        <v>서명</v>
      </c>
      <c r="F1" s="2" t="str">
        <f>"저작자"</f>
        <v>저작자</v>
      </c>
      <c r="G1" s="2" t="str">
        <f>"발행자"</f>
        <v>발행자</v>
      </c>
      <c r="H1" s="2" t="str">
        <f>"발행년"</f>
        <v>발행년</v>
      </c>
      <c r="I1" s="2" t="str">
        <f>"부록유무"</f>
        <v>부록유무</v>
      </c>
    </row>
    <row r="2" spans="1:9" x14ac:dyDescent="0.3">
      <c r="A2" s="2">
        <v>1</v>
      </c>
      <c r="B2" s="4" t="s">
        <v>4</v>
      </c>
      <c r="C2" s="3" t="str">
        <f>"TFC000000001"</f>
        <v>TFC000000001</v>
      </c>
      <c r="D2" s="3" t="str">
        <f>"F800-20-0001-(AR 0.3)"</f>
        <v>F800-20-0001-(AR 0.3)</v>
      </c>
      <c r="E2" s="3" t="str">
        <f>"(The)go kart"</f>
        <v>(The)go kart</v>
      </c>
      <c r="F2" s="3" t="str">
        <f>"written by Roderick Hunt ; illustrated by Alex Brychta"</f>
        <v>written by Roderick Hunt ; illustrated by Alex Brychta</v>
      </c>
      <c r="G2" s="3" t="str">
        <f>"Oxford University Press"</f>
        <v>Oxford University Press</v>
      </c>
      <c r="H2" s="2" t="str">
        <f>"2011"</f>
        <v>2011</v>
      </c>
      <c r="I2" s="3" t="str">
        <f>""</f>
        <v/>
      </c>
    </row>
    <row r="3" spans="1:9" x14ac:dyDescent="0.3">
      <c r="A3" s="2">
        <v>2</v>
      </c>
      <c r="B3" s="4" t="s">
        <v>5</v>
      </c>
      <c r="C3" s="3" t="str">
        <f>"TFC000000004"</f>
        <v>TFC000000004</v>
      </c>
      <c r="D3" s="3" t="str">
        <f>"F800-20-0003-(AR 0.4)"</f>
        <v>F800-20-0003-(AR 0.4)</v>
      </c>
      <c r="E3" s="3" t="str">
        <f>"At the canival"</f>
        <v>At the canival</v>
      </c>
      <c r="F3" s="3" t="str">
        <f>"by Kirsten Hall ; illustrated by Laura Rader"</f>
        <v>by Kirsten Hall ; illustrated by Laura Rader</v>
      </c>
      <c r="G3" s="3" t="str">
        <f>"Scholastic"</f>
        <v>Scholastic</v>
      </c>
      <c r="H3" s="2" t="str">
        <f>"2003"</f>
        <v>2003</v>
      </c>
      <c r="I3" s="2" t="s">
        <v>2</v>
      </c>
    </row>
    <row r="4" spans="1:9" x14ac:dyDescent="0.3">
      <c r="A4" s="2">
        <v>3</v>
      </c>
      <c r="B4" s="4" t="s">
        <v>5</v>
      </c>
      <c r="C4" s="3" t="str">
        <f>"TFC000000009"</f>
        <v>TFC000000009</v>
      </c>
      <c r="D4" s="3" t="str">
        <f>"F800-20-0008-(AR 0.4)"</f>
        <v>F800-20-0008-(AR 0.4)</v>
      </c>
      <c r="E4" s="3" t="str">
        <f>"I am lost!"</f>
        <v>I am lost!</v>
      </c>
      <c r="F4" s="3" t="str">
        <f>"by Hans Wilhelm"</f>
        <v>by Hans Wilhelm</v>
      </c>
      <c r="G4" s="3" t="str">
        <f>"Scholastic"</f>
        <v>Scholastic</v>
      </c>
      <c r="H4" s="2" t="str">
        <f>"2003"</f>
        <v>2003</v>
      </c>
      <c r="I4" s="3" t="str">
        <f>""</f>
        <v/>
      </c>
    </row>
    <row r="5" spans="1:9" x14ac:dyDescent="0.3">
      <c r="A5" s="2">
        <v>4</v>
      </c>
      <c r="B5" s="4" t="s">
        <v>5</v>
      </c>
      <c r="C5" s="3" t="str">
        <f>"TFC000000008"</f>
        <v>TFC000000008</v>
      </c>
      <c r="D5" s="3" t="str">
        <f>"F800-20-0007-(AR 0.4)"</f>
        <v>F800-20-0007-(AR 0.4)</v>
      </c>
      <c r="E5" s="3" t="str">
        <f>"(The)toy's party"</f>
        <v>(The)toy's party</v>
      </c>
      <c r="F5" s="3" t="str">
        <f>"written by Roderick Hunt ; illustrated by Alex Brychta"</f>
        <v>written by Roderick Hunt ; illustrated by Alex Brychta</v>
      </c>
      <c r="G5" s="3" t="str">
        <f>"Oxford University Press"</f>
        <v>Oxford University Press</v>
      </c>
      <c r="H5" s="2" t="str">
        <f>"2011"</f>
        <v>2011</v>
      </c>
      <c r="I5" s="3" t="str">
        <f>""</f>
        <v/>
      </c>
    </row>
    <row r="6" spans="1:9" x14ac:dyDescent="0.3">
      <c r="A6" s="2">
        <v>5</v>
      </c>
      <c r="B6" s="4" t="s">
        <v>5</v>
      </c>
      <c r="C6" s="3" t="str">
        <f>"TFC000000007"</f>
        <v>TFC000000007</v>
      </c>
      <c r="D6" s="3" t="str">
        <f>"F800-20-0006-(AR 0.4)"</f>
        <v>F800-20-0006-(AR 0.4)</v>
      </c>
      <c r="E6" s="3" t="str">
        <f>"New trainers"</f>
        <v>New trainers</v>
      </c>
      <c r="F6" s="3" t="str">
        <f>"written by Roderick Hunt ; illustrated by Alex Brychta"</f>
        <v>written by Roderick Hunt ; illustrated by Alex Brychta</v>
      </c>
      <c r="G6" s="3" t="str">
        <f>"Oxford University Press"</f>
        <v>Oxford University Press</v>
      </c>
      <c r="H6" s="2" t="str">
        <f>"2011"</f>
        <v>2011</v>
      </c>
      <c r="I6" s="3" t="str">
        <f>""</f>
        <v/>
      </c>
    </row>
    <row r="7" spans="1:9" x14ac:dyDescent="0.3">
      <c r="A7" s="2">
        <v>6</v>
      </c>
      <c r="B7" s="4" t="s">
        <v>5</v>
      </c>
      <c r="C7" s="3" t="str">
        <f>"TFC000000006"</f>
        <v>TFC000000006</v>
      </c>
      <c r="D7" s="3" t="str">
        <f>"F800-20-0005-(AR 0.4)"</f>
        <v>F800-20-0005-(AR 0.4)</v>
      </c>
      <c r="E7" s="3" t="str">
        <f>"(A)new dog"</f>
        <v>(A)new dog</v>
      </c>
      <c r="F7" s="3" t="str">
        <f>"written by Roderick Hunt ; illustrated by Alex Brychta"</f>
        <v>written by Roderick Hunt ; illustrated by Alex Brychta</v>
      </c>
      <c r="G7" s="3" t="str">
        <f>"Oxford University Press"</f>
        <v>Oxford University Press</v>
      </c>
      <c r="H7" s="2" t="str">
        <f>"2011"</f>
        <v>2011</v>
      </c>
      <c r="I7" s="3" t="str">
        <f>""</f>
        <v/>
      </c>
    </row>
    <row r="8" spans="1:9" x14ac:dyDescent="0.3">
      <c r="A8" s="2">
        <v>7</v>
      </c>
      <c r="B8" s="4" t="s">
        <v>5</v>
      </c>
      <c r="C8" s="3" t="str">
        <f>"TFC000000005"</f>
        <v>TFC000000005</v>
      </c>
      <c r="D8" s="3" t="str">
        <f>"F800-20-0004-(AR 0.4)"</f>
        <v>F800-20-0004-(AR 0.4)</v>
      </c>
      <c r="E8" s="3" t="str">
        <f>"(The)ball game"</f>
        <v>(The)ball game</v>
      </c>
      <c r="F8" s="3" t="str">
        <f>"by David Packard ; illustrated by R. W. Alley"</f>
        <v>by David Packard ; illustrated by R. W. Alley</v>
      </c>
      <c r="G8" s="3" t="str">
        <f>"Scholastic"</f>
        <v>Scholastic</v>
      </c>
      <c r="H8" s="2" t="str">
        <f>"2003"</f>
        <v>2003</v>
      </c>
      <c r="I8" s="3" t="str">
        <f>""</f>
        <v/>
      </c>
    </row>
    <row r="9" spans="1:9" x14ac:dyDescent="0.3">
      <c r="A9" s="2">
        <v>8</v>
      </c>
      <c r="B9" s="4" t="s">
        <v>5</v>
      </c>
      <c r="C9" s="3" t="str">
        <f>"TFC000000002"</f>
        <v>TFC000000002</v>
      </c>
      <c r="D9" s="3" t="str">
        <f>"F800-20-0002-(AR 0.4)"</f>
        <v>F800-20-0002-(AR 0.4)</v>
      </c>
      <c r="E9" s="3" t="str">
        <f>"Big egg"</f>
        <v>Big egg</v>
      </c>
      <c r="F9" s="3" t="str">
        <f>"by Molly Coxe"</f>
        <v>by Molly Coxe</v>
      </c>
      <c r="G9" s="3" t="str">
        <f>"Random House"</f>
        <v>Random House</v>
      </c>
      <c r="H9" s="2" t="str">
        <f>"1997"</f>
        <v>1997</v>
      </c>
      <c r="I9" s="3" t="str">
        <f>""</f>
        <v/>
      </c>
    </row>
    <row r="10" spans="1:9" x14ac:dyDescent="0.3">
      <c r="A10" s="2">
        <v>9</v>
      </c>
      <c r="B10" s="4" t="s">
        <v>6</v>
      </c>
      <c r="C10" s="3" t="str">
        <f>"TFC000000017"</f>
        <v>TFC000000017</v>
      </c>
      <c r="D10" s="3" t="str">
        <f>"F800-20-0017-(AR 0.5)"</f>
        <v>F800-20-0017-(AR 0.5)</v>
      </c>
      <c r="E10" s="3" t="str">
        <f>"Pizza party!"</f>
        <v>Pizza party!</v>
      </c>
      <c r="F10" s="3" t="str">
        <f>"by Grace Maccarone ; illustrated by Emily Arnold McCully"</f>
        <v>by Grace Maccarone ; illustrated by Emily Arnold McCully</v>
      </c>
      <c r="G10" s="3" t="str">
        <f>"Scholastic"</f>
        <v>Scholastic</v>
      </c>
      <c r="H10" s="2" t="str">
        <f>"2003"</f>
        <v>2003</v>
      </c>
      <c r="I10" s="2" t="s">
        <v>2</v>
      </c>
    </row>
    <row r="11" spans="1:9" x14ac:dyDescent="0.3">
      <c r="A11" s="2">
        <v>10</v>
      </c>
      <c r="B11" s="4" t="s">
        <v>6</v>
      </c>
      <c r="C11" s="3" t="str">
        <f>"TFC000003699"</f>
        <v>TFC000003699</v>
      </c>
      <c r="D11" s="3" t="str">
        <f>"F800-21-0002-(AR 0.5)"</f>
        <v>F800-21-0002-(AR 0.5)</v>
      </c>
      <c r="E11" s="3" t="str">
        <f>"(Horse &amp; Buggy)plant a seed!"</f>
        <v>(Horse &amp; Buggy)plant a seed!</v>
      </c>
      <c r="F11" s="3" t="str">
        <f>"by Ethan Long"</f>
        <v>by Ethan Long</v>
      </c>
      <c r="G11" s="3" t="str">
        <f>"Holiday House"</f>
        <v>Holiday House</v>
      </c>
      <c r="H11" s="2" t="str">
        <f>"2020"</f>
        <v>2020</v>
      </c>
      <c r="I11" s="3" t="str">
        <f>""</f>
        <v/>
      </c>
    </row>
    <row r="12" spans="1:9" x14ac:dyDescent="0.3">
      <c r="A12" s="2">
        <v>11</v>
      </c>
      <c r="B12" s="4" t="s">
        <v>6</v>
      </c>
      <c r="C12" s="3" t="str">
        <f>"TFC000000019"</f>
        <v>TFC000000019</v>
      </c>
      <c r="D12" s="3" t="str">
        <f>"F800-20-0019-(AR 0.5)"</f>
        <v>F800-20-0019-(AR 0.5)</v>
      </c>
      <c r="E12" s="3" t="str">
        <f>"Cat the cat, who is that?"</f>
        <v>Cat the cat, who is that?</v>
      </c>
      <c r="F12" s="3" t="str">
        <f>"by Mo Willems"</f>
        <v>by Mo Willems</v>
      </c>
      <c r="G12" s="3" t="str">
        <f>"Balzer + Bray"</f>
        <v>Balzer + Bray</v>
      </c>
      <c r="H12" s="2" t="str">
        <f>"2010"</f>
        <v>2010</v>
      </c>
      <c r="I12" s="3" t="str">
        <f>""</f>
        <v/>
      </c>
    </row>
    <row r="13" spans="1:9" x14ac:dyDescent="0.3">
      <c r="A13" s="2">
        <v>12</v>
      </c>
      <c r="B13" s="4" t="s">
        <v>6</v>
      </c>
      <c r="C13" s="3" t="str">
        <f>"TFC000000018"</f>
        <v>TFC000000018</v>
      </c>
      <c r="D13" s="3" t="str">
        <f>"F800-20-0018-(AR 0.5)"</f>
        <v>F800-20-0018-(AR 0.5)</v>
      </c>
      <c r="E13" s="3" t="str">
        <f>"Go, Otto, go!"</f>
        <v>Go, Otto, go!</v>
      </c>
      <c r="F13" s="3" t="str">
        <f>"David Milgrim"</f>
        <v>David Milgrim</v>
      </c>
      <c r="G13" s="3" t="str">
        <f>"Simon Spotlight"</f>
        <v>Simon Spotlight</v>
      </c>
      <c r="H13" s="2" t="str">
        <f>"2016"</f>
        <v>2016</v>
      </c>
      <c r="I13" s="3" t="str">
        <f>""</f>
        <v/>
      </c>
    </row>
    <row r="14" spans="1:9" x14ac:dyDescent="0.3">
      <c r="A14" s="2">
        <v>13</v>
      </c>
      <c r="B14" s="4" t="s">
        <v>6</v>
      </c>
      <c r="C14" s="3" t="str">
        <f>"TFC000000016"</f>
        <v>TFC000000016</v>
      </c>
      <c r="D14" s="3" t="str">
        <f>"F800-20-0016-(AR 0.5)"</f>
        <v>F800-20-0016-(AR 0.5)</v>
      </c>
      <c r="E14" s="3" t="str">
        <f>"Spots!"</f>
        <v>Spots!</v>
      </c>
      <c r="F14" s="3" t="str">
        <f>"written by Roderick Hunt ; illustrated by Alex Brychta"</f>
        <v>written by Roderick Hunt ; illustrated by Alex Brychta</v>
      </c>
      <c r="G14" s="3" t="str">
        <f>"Oxford University Press"</f>
        <v>Oxford University Press</v>
      </c>
      <c r="H14" s="2" t="str">
        <f>"2011"</f>
        <v>2011</v>
      </c>
      <c r="I14" s="3" t="str">
        <f>""</f>
        <v/>
      </c>
    </row>
    <row r="15" spans="1:9" x14ac:dyDescent="0.3">
      <c r="A15" s="2">
        <v>14</v>
      </c>
      <c r="B15" s="4" t="s">
        <v>6</v>
      </c>
      <c r="C15" s="3" t="str">
        <f>"TFC000000015"</f>
        <v>TFC000000015</v>
      </c>
      <c r="D15" s="3" t="str">
        <f>"F800-20-0015-(AR 0.5)"</f>
        <v>F800-20-0015-(AR 0.5)</v>
      </c>
      <c r="E15" s="3" t="str">
        <f>"Nobody wanted to play"</f>
        <v>Nobody wanted to play</v>
      </c>
      <c r="F15" s="3" t="str">
        <f>"written by Roderick Hunt ; illustrated by Alex Brychta"</f>
        <v>written by Roderick Hunt ; illustrated by Alex Brychta</v>
      </c>
      <c r="G15" s="3" t="str">
        <f>"Oxford University Press"</f>
        <v>Oxford University Press</v>
      </c>
      <c r="H15" s="2" t="str">
        <f>"2011"</f>
        <v>2011</v>
      </c>
      <c r="I15" s="3" t="str">
        <f>""</f>
        <v/>
      </c>
    </row>
    <row r="16" spans="1:9" x14ac:dyDescent="0.3">
      <c r="A16" s="2">
        <v>15</v>
      </c>
      <c r="B16" s="4" t="s">
        <v>6</v>
      </c>
      <c r="C16" s="3" t="str">
        <f>"TFC000000014"</f>
        <v>TFC000000014</v>
      </c>
      <c r="D16" s="3" t="str">
        <f>"F800-20-0014-(AR 0.5)"</f>
        <v>F800-20-0014-(AR 0.5)</v>
      </c>
      <c r="E16" s="3" t="str">
        <f>"(The)mud bath"</f>
        <v>(The)mud bath</v>
      </c>
      <c r="F16" s="3" t="str">
        <f>"written by Roderick Hunt ; illustrated by Alex Brychta"</f>
        <v>written by Roderick Hunt ; illustrated by Alex Brychta</v>
      </c>
      <c r="G16" s="3" t="str">
        <f>"Oxford University Press"</f>
        <v>Oxford University Press</v>
      </c>
      <c r="H16" s="2" t="str">
        <f>"2011"</f>
        <v>2011</v>
      </c>
      <c r="I16" s="3" t="str">
        <f>""</f>
        <v/>
      </c>
    </row>
    <row r="17" spans="1:9" x14ac:dyDescent="0.3">
      <c r="A17" s="2">
        <v>16</v>
      </c>
      <c r="B17" s="4" t="s">
        <v>6</v>
      </c>
      <c r="C17" s="3" t="str">
        <f>"TFC000000012"</f>
        <v>TFC000000012</v>
      </c>
      <c r="D17" s="3" t="str">
        <f>"F800-20-0012-(AR 0.5)"</f>
        <v>F800-20-0012-(AR 0.5)</v>
      </c>
      <c r="E17" s="3" t="str">
        <f>"(The)foggy day"</f>
        <v>(The)foggy day</v>
      </c>
      <c r="F17" s="3" t="str">
        <f>"written by Roderick Hunt ; illustrated by Alex Brychta"</f>
        <v>written by Roderick Hunt ; illustrated by Alex Brychta</v>
      </c>
      <c r="G17" s="3" t="str">
        <f>"Oxford University Press"</f>
        <v>Oxford University Press</v>
      </c>
      <c r="H17" s="2" t="str">
        <f>"2011"</f>
        <v>2011</v>
      </c>
      <c r="I17" s="3" t="str">
        <f>""</f>
        <v/>
      </c>
    </row>
    <row r="18" spans="1:9" x14ac:dyDescent="0.3">
      <c r="A18" s="2">
        <v>17</v>
      </c>
      <c r="B18" s="4" t="s">
        <v>6</v>
      </c>
      <c r="C18" s="3" t="str">
        <f>"TFC000000011"</f>
        <v>TFC000000011</v>
      </c>
      <c r="D18" s="3" t="str">
        <f>"F800-20-0011-(AR 0.5)"</f>
        <v>F800-20-0011-(AR 0.5)</v>
      </c>
      <c r="E18" s="3" t="str">
        <f>"Biff's aeroplane"</f>
        <v>Biff's aeroplane</v>
      </c>
      <c r="F18" s="3" t="str">
        <f>"written by Roderick Hunt ; illustrated by Alex Brychta"</f>
        <v>written by Roderick Hunt ; illustrated by Alex Brychta</v>
      </c>
      <c r="G18" s="3" t="str">
        <f>"Oxford University Press"</f>
        <v>Oxford University Press</v>
      </c>
      <c r="H18" s="2" t="str">
        <f>"2011"</f>
        <v>2011</v>
      </c>
      <c r="I18" s="3" t="str">
        <f>""</f>
        <v/>
      </c>
    </row>
    <row r="19" spans="1:9" x14ac:dyDescent="0.3">
      <c r="A19" s="2">
        <v>18</v>
      </c>
      <c r="B19" s="4" t="s">
        <v>6</v>
      </c>
      <c r="C19" s="3" t="str">
        <f>"TFC000000010"</f>
        <v>TFC000000010</v>
      </c>
      <c r="D19" s="3" t="str">
        <f>"F800-20-0010-(AR 0.5)"</f>
        <v>F800-20-0010-(AR 0.5)</v>
      </c>
      <c r="E19" s="3" t="str">
        <f>"Scat, cats!"</f>
        <v>Scat, cats!</v>
      </c>
      <c r="F19" s="3" t="str">
        <f>"by Joan Holub ; illustrated by Rich Davis"</f>
        <v>by Joan Holub ; illustrated by Rich Davis</v>
      </c>
      <c r="G19" s="3" t="str">
        <f>"Penguin Young Readers"</f>
        <v>Penguin Young Readers</v>
      </c>
      <c r="H19" s="2" t="str">
        <f>"2012"</f>
        <v>2012</v>
      </c>
      <c r="I19" s="3" t="str">
        <f>""</f>
        <v/>
      </c>
    </row>
    <row r="20" spans="1:9" x14ac:dyDescent="0.3">
      <c r="A20" s="2">
        <v>19</v>
      </c>
      <c r="B20" s="4" t="s">
        <v>6</v>
      </c>
      <c r="C20" s="3" t="str">
        <f>"TFC000004917"</f>
        <v>TFC000004917</v>
      </c>
      <c r="D20" s="3" t="str">
        <f>"F800-23-0021-(AR0.5)"</f>
        <v>F800-23-0021-(AR0.5)</v>
      </c>
      <c r="E20" s="3" t="str">
        <f>"Floppy's Bath"</f>
        <v>Floppy's Bath</v>
      </c>
      <c r="F20" s="3" t="str">
        <f>"by Roderick Hunt, illustrated by Alex Brychta"</f>
        <v>by Roderick Hunt, illustrated by Alex Brychta</v>
      </c>
      <c r="G20" s="3" t="str">
        <f>"Oxford University Press"</f>
        <v>Oxford University Press</v>
      </c>
      <c r="H20" s="2" t="str">
        <f>"2011"</f>
        <v>2011</v>
      </c>
      <c r="I20" s="3" t="str">
        <f>""</f>
        <v/>
      </c>
    </row>
    <row r="21" spans="1:9" x14ac:dyDescent="0.3">
      <c r="A21" s="2">
        <v>20</v>
      </c>
      <c r="B21" s="4" t="s">
        <v>6</v>
      </c>
      <c r="C21" s="3" t="str">
        <f>"TFC000003137"</f>
        <v>TFC000003137</v>
      </c>
      <c r="D21" s="3" t="str">
        <f>"F800-20-0022-1(AR 0.5)=2"</f>
        <v>F800-20-0022-1(AR 0.5)=2</v>
      </c>
      <c r="E21" s="3" t="str">
        <f>"I love my new toy!"</f>
        <v>I love my new toy!</v>
      </c>
      <c r="F21" s="3" t="str">
        <f>"Mo Willems"</f>
        <v>Mo Willems</v>
      </c>
      <c r="G21" s="3" t="str">
        <f>"Hyperion Books for Children"</f>
        <v>Hyperion Books for Children</v>
      </c>
      <c r="H21" s="2" t="str">
        <f>"2008"</f>
        <v>2008</v>
      </c>
      <c r="I21" s="3" t="str">
        <f>""</f>
        <v/>
      </c>
    </row>
    <row r="22" spans="1:9" x14ac:dyDescent="0.3">
      <c r="A22" s="2">
        <v>21</v>
      </c>
      <c r="B22" s="4" t="s">
        <v>6</v>
      </c>
      <c r="C22" s="3" t="str">
        <f>"TFC000000020"</f>
        <v>TFC000000020</v>
      </c>
      <c r="D22" s="3" t="str">
        <f>"F800-20-0020-1(AR 0.5)"</f>
        <v>F800-20-0020-1(AR 0.5)</v>
      </c>
      <c r="E22" s="3" t="str">
        <f>"I love my new toy!"</f>
        <v>I love my new toy!</v>
      </c>
      <c r="F22" s="3" t="str">
        <f>"Mo Willems"</f>
        <v>Mo Willems</v>
      </c>
      <c r="G22" s="3" t="str">
        <f>"Hyperion Books for Children"</f>
        <v>Hyperion Books for Children</v>
      </c>
      <c r="H22" s="2" t="str">
        <f>"2008"</f>
        <v>2008</v>
      </c>
      <c r="I22" s="3" t="str">
        <f>""</f>
        <v/>
      </c>
    </row>
    <row r="23" spans="1:9" x14ac:dyDescent="0.3">
      <c r="A23" s="2">
        <v>22</v>
      </c>
      <c r="B23" s="4">
        <v>0.5</v>
      </c>
      <c r="C23" s="3" t="str">
        <f>"TFC000000021"</f>
        <v>TFC000000021</v>
      </c>
      <c r="D23" s="3" t="str">
        <f>"F800-20-0021-2(AR 0.5)"</f>
        <v>F800-20-0021-2(AR 0.5)</v>
      </c>
      <c r="E23" s="3" t="str">
        <f>"Today i will fly!"</f>
        <v>Today i will fly!</v>
      </c>
      <c r="F23" s="3" t="str">
        <f>"by Mo Willems"</f>
        <v>by Mo Willems</v>
      </c>
      <c r="G23" s="3" t="str">
        <f>"Hyperion Books for Children"</f>
        <v>Hyperion Books for Children</v>
      </c>
      <c r="H23" s="2" t="str">
        <f>"2007"</f>
        <v>2007</v>
      </c>
      <c r="I23" s="3" t="str">
        <f>""</f>
        <v/>
      </c>
    </row>
    <row r="24" spans="1:9" x14ac:dyDescent="0.3">
      <c r="A24" s="2">
        <v>23</v>
      </c>
      <c r="B24" s="4" t="s">
        <v>7</v>
      </c>
      <c r="C24" s="3" t="str">
        <f>"TFC000000041"</f>
        <v>TFC000000041</v>
      </c>
      <c r="D24" s="3" t="str">
        <f>"F800-20-0042-(AR 0.6)"</f>
        <v>F800-20-0042-(AR 0.6)</v>
      </c>
      <c r="E24" s="3" t="str">
        <f>"I'm no turkey"</f>
        <v>I'm no turkey</v>
      </c>
      <c r="F24" s="3" t="str">
        <f>"by Hans Wilhelm"</f>
        <v>by Hans Wilhelm</v>
      </c>
      <c r="G24" s="3" t="str">
        <f>"Scholastic"</f>
        <v>Scholastic</v>
      </c>
      <c r="H24" s="2" t="str">
        <f>"2008"</f>
        <v>2008</v>
      </c>
      <c r="I24" s="2" t="s">
        <v>2</v>
      </c>
    </row>
    <row r="25" spans="1:9" x14ac:dyDescent="0.3">
      <c r="A25" s="2">
        <v>24</v>
      </c>
      <c r="B25" s="4" t="s">
        <v>7</v>
      </c>
      <c r="C25" s="3" t="str">
        <f>"TFC000003022"</f>
        <v>TFC000003022</v>
      </c>
      <c r="D25" s="3" t="str">
        <f>"F800-20-0045-(AR 0.6)"</f>
        <v>F800-20-0045-(AR 0.6)</v>
      </c>
      <c r="E25" s="3" t="str">
        <f>"Simon says open the book"</f>
        <v>Simon says open the book</v>
      </c>
      <c r="F25" s="3" t="str">
        <f>"by Emilia Zebrowska ; illustrated by Susan Reagan"</f>
        <v>by Emilia Zebrowska ; illustrated by Susan Reagan</v>
      </c>
      <c r="G25" s="3" t="str">
        <f>"Creative Editions"</f>
        <v>Creative Editions</v>
      </c>
      <c r="H25" s="2" t="str">
        <f>"2019"</f>
        <v>2019</v>
      </c>
      <c r="I25" s="3" t="str">
        <f>""</f>
        <v/>
      </c>
    </row>
    <row r="26" spans="1:9" x14ac:dyDescent="0.3">
      <c r="A26" s="2">
        <v>25</v>
      </c>
      <c r="B26" s="4" t="s">
        <v>7</v>
      </c>
      <c r="C26" s="3" t="str">
        <f>"TFC000003210"</f>
        <v>TFC000003210</v>
      </c>
      <c r="D26" s="3" t="str">
        <f>"F800-21-0003-(AR 0.6)"</f>
        <v>F800-21-0003-(AR 0.6)</v>
      </c>
      <c r="E26" s="3" t="str">
        <f>"Max finds an egg"</f>
        <v>Max finds an egg</v>
      </c>
      <c r="F26" s="3" t="str">
        <f>"by Wiley Blevins ; illustrated by Ben Clanton"</f>
        <v>by Wiley Blevins ; illustrated by Ben Clanton</v>
      </c>
      <c r="G26" s="3" t="str">
        <f>"Penguin Young Readers"</f>
        <v>Penguin Young Readers</v>
      </c>
      <c r="H26" s="2" t="str">
        <f>"2015"</f>
        <v>2015</v>
      </c>
      <c r="I26" s="3" t="str">
        <f>""</f>
        <v/>
      </c>
    </row>
    <row r="27" spans="1:9" x14ac:dyDescent="0.3">
      <c r="A27" s="2">
        <v>26</v>
      </c>
      <c r="B27" s="4" t="s">
        <v>7</v>
      </c>
      <c r="C27" s="3" t="str">
        <f>"TFC000003594"</f>
        <v>TFC000003594</v>
      </c>
      <c r="D27" s="3" t="str">
        <f>"F800-21-0004-(AR 0.6)"</f>
        <v>F800-21-0004-(AR 0.6)</v>
      </c>
      <c r="E27" s="3" t="str">
        <f>"Frog meets dog"</f>
        <v>Frog meets dog</v>
      </c>
      <c r="F27" s="3" t="str">
        <f>"by Janee Trasler"</f>
        <v>by Janee Trasler</v>
      </c>
      <c r="G27" s="3" t="str">
        <f>"Acorn:Scholastic"</f>
        <v>Acorn:Scholastic</v>
      </c>
      <c r="H27" s="2" t="str">
        <f>"2020"</f>
        <v>2020</v>
      </c>
      <c r="I27" s="3" t="str">
        <f>""</f>
        <v/>
      </c>
    </row>
    <row r="28" spans="1:9" x14ac:dyDescent="0.3">
      <c r="A28" s="2">
        <v>27</v>
      </c>
      <c r="B28" s="4" t="s">
        <v>7</v>
      </c>
      <c r="C28" s="3" t="str">
        <f>"TFC000003780"</f>
        <v>TFC000003780</v>
      </c>
      <c r="D28" s="3" t="str">
        <f>"F800-21-0005-(AR 0.6)"</f>
        <v>F800-21-0005-(AR 0.6)</v>
      </c>
      <c r="E28" s="3" t="str">
        <f>"Are you ready to play outside?"</f>
        <v>Are you ready to play outside?</v>
      </c>
      <c r="F28" s="3" t="str">
        <f>"by Mo Willems"</f>
        <v>by Mo Willems</v>
      </c>
      <c r="G28" s="3" t="str">
        <f>"Hyperion Books for Children"</f>
        <v>Hyperion Books for Children</v>
      </c>
      <c r="H28" s="2" t="str">
        <f>"2008"</f>
        <v>2008</v>
      </c>
      <c r="I28" s="3" t="str">
        <f>""</f>
        <v/>
      </c>
    </row>
    <row r="29" spans="1:9" x14ac:dyDescent="0.3">
      <c r="A29" s="2">
        <v>28</v>
      </c>
      <c r="B29" s="4" t="s">
        <v>7</v>
      </c>
      <c r="C29" s="3" t="str">
        <f>"TFC000000043"</f>
        <v>TFC000000043</v>
      </c>
      <c r="D29" s="3" t="str">
        <f>"F800-20-0044-(AR 0.6)"</f>
        <v>F800-20-0044-(AR 0.6)</v>
      </c>
      <c r="E29" s="3" t="str">
        <f>"Can I play, too?"</f>
        <v>Can I play, too?</v>
      </c>
      <c r="F29" s="3" t="str">
        <f>"by Mo Willems"</f>
        <v>by Mo Willems</v>
      </c>
      <c r="G29" s="3" t="str">
        <f>"Hyperion Books for Children"</f>
        <v>Hyperion Books for Children</v>
      </c>
      <c r="H29" s="2" t="str">
        <f>"2012"</f>
        <v>2012</v>
      </c>
      <c r="I29" s="3" t="str">
        <f>""</f>
        <v/>
      </c>
    </row>
    <row r="30" spans="1:9" x14ac:dyDescent="0.3">
      <c r="A30" s="2">
        <v>29</v>
      </c>
      <c r="B30" s="4" t="s">
        <v>7</v>
      </c>
      <c r="C30" s="3" t="str">
        <f>"TFC000000042"</f>
        <v>TFC000000042</v>
      </c>
      <c r="D30" s="3" t="str">
        <f>"F800-20-0043-(AR 0.6)"</f>
        <v>F800-20-0043-(AR 0.6)</v>
      </c>
      <c r="E30" s="3" t="str">
        <f>"Time to sleep, Sheep the sheep!"</f>
        <v>Time to sleep, Sheep the sheep!</v>
      </c>
      <c r="F30" s="3" t="str">
        <f>"by Mo Willems"</f>
        <v>by Mo Willems</v>
      </c>
      <c r="G30" s="3" t="str">
        <f>"Balzer &amp; Bray"</f>
        <v>Balzer &amp; Bray</v>
      </c>
      <c r="H30" s="2" t="str">
        <f>"2010"</f>
        <v>2010</v>
      </c>
      <c r="I30" s="3" t="str">
        <f>""</f>
        <v/>
      </c>
    </row>
    <row r="31" spans="1:9" x14ac:dyDescent="0.3">
      <c r="A31" s="2">
        <v>30</v>
      </c>
      <c r="B31" s="4" t="s">
        <v>7</v>
      </c>
      <c r="C31" s="3" t="str">
        <f>"TFC000000040"</f>
        <v>TFC000000040</v>
      </c>
      <c r="D31" s="3" t="str">
        <f>"F800-20-0041-(AR 0.6)"</f>
        <v>F800-20-0041-(AR 0.6)</v>
      </c>
      <c r="E31" s="3" t="str">
        <f>"(The)adventures of otto : look out! a storm!"</f>
        <v>(The)adventures of otto : look out! a storm!</v>
      </c>
      <c r="F31" s="3" t="str">
        <f>"David Milgrim"</f>
        <v>David Milgrim</v>
      </c>
      <c r="G31" s="3" t="str">
        <f>"Simon Spotlight"</f>
        <v>Simon Spotlight</v>
      </c>
      <c r="H31" s="2" t="str">
        <f>"2019"</f>
        <v>2019</v>
      </c>
      <c r="I31" s="3" t="str">
        <f>""</f>
        <v/>
      </c>
    </row>
    <row r="32" spans="1:9" x14ac:dyDescent="0.3">
      <c r="A32" s="2">
        <v>31</v>
      </c>
      <c r="B32" s="4" t="s">
        <v>7</v>
      </c>
      <c r="C32" s="3" t="str">
        <f>"TFC000000038"</f>
        <v>TFC000000038</v>
      </c>
      <c r="D32" s="3" t="str">
        <f>"F800-20-0039-(AR 0.6)"</f>
        <v>F800-20-0039-(AR 0.6)</v>
      </c>
      <c r="E32" s="3" t="str">
        <f>"(The)wobbly tooth"</f>
        <v>(The)wobbly tooth</v>
      </c>
      <c r="F32" s="3" t="str">
        <f>"written by Roderick Hunt ; illustrated by Alex Brychta"</f>
        <v>written by Roderick Hunt ; illustrated by Alex Brychta</v>
      </c>
      <c r="G32" s="3" t="str">
        <f>"Oxford University Press"</f>
        <v>Oxford University Press</v>
      </c>
      <c r="H32" s="2" t="str">
        <f>"2011"</f>
        <v>2011</v>
      </c>
      <c r="I32" s="3" t="str">
        <f>""</f>
        <v/>
      </c>
    </row>
    <row r="33" spans="1:9" x14ac:dyDescent="0.3">
      <c r="A33" s="2">
        <v>32</v>
      </c>
      <c r="B33" s="4" t="s">
        <v>7</v>
      </c>
      <c r="C33" s="3" t="str">
        <f>"TFC000000037"</f>
        <v>TFC000000037</v>
      </c>
      <c r="D33" s="3" t="str">
        <f>"F800-20-0038-(AR 0.6)"</f>
        <v>F800-20-0038-(AR 0.6)</v>
      </c>
      <c r="E33" s="3" t="str">
        <f>"Nobody got wet"</f>
        <v>Nobody got wet</v>
      </c>
      <c r="F33" s="3" t="str">
        <f>"written by Roderick Hunt ; illustrated by Alex Brychta"</f>
        <v>written by Roderick Hunt ; illustrated by Alex Brychta</v>
      </c>
      <c r="G33" s="3" t="str">
        <f>"Oxford University Press"</f>
        <v>Oxford University Press</v>
      </c>
      <c r="H33" s="2" t="str">
        <f>"2011"</f>
        <v>2011</v>
      </c>
      <c r="I33" s="3" t="str">
        <f>""</f>
        <v/>
      </c>
    </row>
    <row r="34" spans="1:9" x14ac:dyDescent="0.3">
      <c r="A34" s="2">
        <v>33</v>
      </c>
      <c r="B34" s="4" t="s">
        <v>7</v>
      </c>
      <c r="C34" s="3" t="str">
        <f>"TFC000000033"</f>
        <v>TFC000000033</v>
      </c>
      <c r="D34" s="3" t="str">
        <f>"F800-20-0034-(AR 0.6)"</f>
        <v>F800-20-0034-(AR 0.6)</v>
      </c>
      <c r="E34" s="3" t="str">
        <f>"(The)ice rink"</f>
        <v>(The)ice rink</v>
      </c>
      <c r="F34" s="3" t="str">
        <f>"written by Roderick Hunt ; illustrated by Alex Brychta"</f>
        <v>written by Roderick Hunt ; illustrated by Alex Brychta</v>
      </c>
      <c r="G34" s="3" t="str">
        <f>"Oxford University Press"</f>
        <v>Oxford University Press</v>
      </c>
      <c r="H34" s="2" t="str">
        <f>"2011"</f>
        <v>2011</v>
      </c>
      <c r="I34" s="3" t="str">
        <f>""</f>
        <v/>
      </c>
    </row>
    <row r="35" spans="1:9" x14ac:dyDescent="0.3">
      <c r="A35" s="2">
        <v>34</v>
      </c>
      <c r="B35" s="4" t="s">
        <v>7</v>
      </c>
      <c r="C35" s="3" t="str">
        <f>"TFC000000032"</f>
        <v>TFC000000032</v>
      </c>
      <c r="D35" s="3" t="str">
        <f>"F800-20-0033-(AR 0.6)"</f>
        <v>F800-20-0033-(AR 0.6)</v>
      </c>
      <c r="E35" s="3" t="str">
        <f>"Floppy the hero"</f>
        <v>Floppy the hero</v>
      </c>
      <c r="F35" s="3" t="str">
        <f>"written by Roderick Hunt ; illustrated by Alex Brychta"</f>
        <v>written by Roderick Hunt ; illustrated by Alex Brychta</v>
      </c>
      <c r="G35" s="3" t="str">
        <f>"Oxford University Press"</f>
        <v>Oxford University Press</v>
      </c>
      <c r="H35" s="2" t="str">
        <f>"2011"</f>
        <v>2011</v>
      </c>
      <c r="I35" s="3" t="str">
        <f>""</f>
        <v/>
      </c>
    </row>
    <row r="36" spans="1:9" x14ac:dyDescent="0.3">
      <c r="A36" s="2">
        <v>35</v>
      </c>
      <c r="B36" s="4" t="s">
        <v>7</v>
      </c>
      <c r="C36" s="3" t="str">
        <f>"TFC000000031"</f>
        <v>TFC000000031</v>
      </c>
      <c r="D36" s="3" t="str">
        <f>"F800-20-0032-(AR 0.6)"</f>
        <v>F800-20-0032-(AR 0.6)</v>
      </c>
      <c r="E36" s="3" t="str">
        <f>"(A)cat in the tree"</f>
        <v>(A)cat in the tree</v>
      </c>
      <c r="F36" s="3" t="str">
        <f>"written by Roderick Hunt ; illustrated by Alex Brychta"</f>
        <v>written by Roderick Hunt ; illustrated by Alex Brychta</v>
      </c>
      <c r="G36" s="3" t="str">
        <f>"Oxford University Press"</f>
        <v>Oxford University Press</v>
      </c>
      <c r="H36" s="2" t="str">
        <f>"2011"</f>
        <v>2011</v>
      </c>
      <c r="I36" s="3" t="str">
        <f>""</f>
        <v/>
      </c>
    </row>
    <row r="37" spans="1:9" x14ac:dyDescent="0.3">
      <c r="A37" s="2">
        <v>36</v>
      </c>
      <c r="B37" s="4" t="s">
        <v>7</v>
      </c>
      <c r="C37" s="3" t="str">
        <f>"TFC000000030"</f>
        <v>TFC000000030</v>
      </c>
      <c r="D37" s="3" t="str">
        <f>"F800-20-0031-(AR 0.6)"</f>
        <v>F800-20-0031-(AR 0.6)</v>
      </c>
      <c r="E37" s="3" t="str">
        <f>"(The)big egg"</f>
        <v>(The)big egg</v>
      </c>
      <c r="F37" s="3" t="str">
        <f>"written by Roderick Hunt ; illustrated by Alex Brychta"</f>
        <v>written by Roderick Hunt ; illustrated by Alex Brychta</v>
      </c>
      <c r="G37" s="3" t="str">
        <f>"Oxford University Press"</f>
        <v>Oxford University Press</v>
      </c>
      <c r="H37" s="2" t="str">
        <f>"2011"</f>
        <v>2011</v>
      </c>
      <c r="I37" s="3" t="str">
        <f>""</f>
        <v/>
      </c>
    </row>
    <row r="38" spans="1:9" x14ac:dyDescent="0.3">
      <c r="A38" s="2">
        <v>37</v>
      </c>
      <c r="B38" s="4" t="s">
        <v>7</v>
      </c>
      <c r="C38" s="3" t="str">
        <f>"TFC000000029"</f>
        <v>TFC000000029</v>
      </c>
      <c r="D38" s="3" t="str">
        <f>"F800-20-0030-(AR 0.6)"</f>
        <v>F800-20-0030-(AR 0.6)</v>
      </c>
      <c r="E38" s="3" t="str">
        <f>"Duck, duck, goose! : a coyote's on the loose!. (AR0.6)"</f>
        <v>Duck, duck, goose! : a coyote's on the loose!. (AR0.6)</v>
      </c>
      <c r="F38" s="3" t="str">
        <f>"by Karen Beaumont ; illustrated by Jose Aruego, Ariane Dewey"</f>
        <v>by Karen Beaumont ; illustrated by Jose Aruego, Ariane Dewey</v>
      </c>
      <c r="G38" s="3" t="str">
        <f>"HarperCollins Publishers"</f>
        <v>HarperCollins Publishers</v>
      </c>
      <c r="H38" s="2" t="str">
        <f>"2004"</f>
        <v>2004</v>
      </c>
      <c r="I38" s="3" t="str">
        <f>""</f>
        <v/>
      </c>
    </row>
    <row r="39" spans="1:9" x14ac:dyDescent="0.3">
      <c r="A39" s="2">
        <v>38</v>
      </c>
      <c r="B39" s="4" t="s">
        <v>7</v>
      </c>
      <c r="C39" s="3" t="str">
        <f>"TFC000000028"</f>
        <v>TFC000000028</v>
      </c>
      <c r="D39" s="3" t="str">
        <f>"F800-20-0029-(AR 0.6)"</f>
        <v>F800-20-0029-(AR 0.6)</v>
      </c>
      <c r="E39" s="3" t="str">
        <f>"(The)foot book"</f>
        <v>(The)foot book</v>
      </c>
      <c r="F39" s="3" t="str">
        <f>"by Dr. Seuss"</f>
        <v>by Dr. Seuss</v>
      </c>
      <c r="G39" s="3" t="str">
        <f>"Random House"</f>
        <v>Random House</v>
      </c>
      <c r="H39" s="2" t="str">
        <f>"1996"</f>
        <v>1996</v>
      </c>
      <c r="I39" s="3" t="str">
        <f>""</f>
        <v/>
      </c>
    </row>
    <row r="40" spans="1:9" x14ac:dyDescent="0.3">
      <c r="A40" s="2">
        <v>39</v>
      </c>
      <c r="B40" s="4" t="s">
        <v>7</v>
      </c>
      <c r="C40" s="3" t="str">
        <f>"TFC000000026"</f>
        <v>TFC000000026</v>
      </c>
      <c r="D40" s="3" t="str">
        <f>"F800-20-0027-(AR 0.6)"</f>
        <v>F800-20-0027-(AR 0.6)</v>
      </c>
      <c r="E40" s="3" t="str">
        <f>"I am water"</f>
        <v>I am water</v>
      </c>
      <c r="F40" s="3" t="str">
        <f>"by Jean Marzollo ; illustrated by Judith Moffatt"</f>
        <v>by Jean Marzollo ; illustrated by Judith Moffatt</v>
      </c>
      <c r="G40" s="3" t="str">
        <f>"Scholastic"</f>
        <v>Scholastic</v>
      </c>
      <c r="H40" s="2" t="str">
        <f>"2003"</f>
        <v>2003</v>
      </c>
      <c r="I40" s="3" t="str">
        <f>""</f>
        <v/>
      </c>
    </row>
    <row r="41" spans="1:9" x14ac:dyDescent="0.3">
      <c r="A41" s="2">
        <v>40</v>
      </c>
      <c r="B41" s="4" t="s">
        <v>7</v>
      </c>
      <c r="C41" s="3" t="str">
        <f>"TFC000000025"</f>
        <v>TFC000000025</v>
      </c>
      <c r="D41" s="3" t="str">
        <f>"F800-20-0026-(AR 0.6)"</f>
        <v>F800-20-0026-(AR 0.6)</v>
      </c>
      <c r="E41" s="3" t="str">
        <f>"Rosie's walk"</f>
        <v>Rosie's walk</v>
      </c>
      <c r="F41" s="3" t="str">
        <f>"by Pat Hutchins"</f>
        <v>by Pat Hutchins</v>
      </c>
      <c r="G41" s="3" t="str">
        <f>"Aladdin Paperbacks"</f>
        <v>Aladdin Paperbacks</v>
      </c>
      <c r="H41" s="2" t="str">
        <f>"1986"</f>
        <v>1986</v>
      </c>
      <c r="I41" s="3" t="str">
        <f>""</f>
        <v/>
      </c>
    </row>
    <row r="42" spans="1:9" x14ac:dyDescent="0.3">
      <c r="A42" s="2">
        <v>41</v>
      </c>
      <c r="B42" s="4" t="s">
        <v>7</v>
      </c>
      <c r="C42" s="3" t="str">
        <f>"TFC000000023"</f>
        <v>TFC000000023</v>
      </c>
      <c r="D42" s="3" t="str">
        <f>"F800-20-0024-(AR 0.6)"</f>
        <v>F800-20-0024-(AR 0.6)</v>
      </c>
      <c r="E42" s="3" t="str">
        <f>"No way!"</f>
        <v>No way!</v>
      </c>
      <c r="F42" s="3" t="str">
        <f>"by Paul Fehlner ; illustrated by Laura Rader"</f>
        <v>by Paul Fehlner ; illustrated by Laura Rader</v>
      </c>
      <c r="G42" s="3" t="str">
        <f>"Scholastic"</f>
        <v>Scholastic</v>
      </c>
      <c r="H42" s="2" t="str">
        <f>"2003"</f>
        <v>2003</v>
      </c>
      <c r="I42" s="3" t="str">
        <f>""</f>
        <v/>
      </c>
    </row>
    <row r="43" spans="1:9" x14ac:dyDescent="0.3">
      <c r="A43" s="2">
        <v>42</v>
      </c>
      <c r="B43" s="4" t="s">
        <v>7</v>
      </c>
      <c r="C43" s="3" t="str">
        <f>"TFC000000022"</f>
        <v>TFC000000022</v>
      </c>
      <c r="D43" s="3" t="str">
        <f>"F800-20-0023-(AR 0.6)"</f>
        <v>F800-20-0023-(AR 0.6)</v>
      </c>
      <c r="E43" s="3" t="str">
        <f>"Cowboy up!"</f>
        <v>Cowboy up!</v>
      </c>
      <c r="F43" s="3" t="str">
        <f>"written by Larry Dane Brimner ; illustrated by Susan Miller"</f>
        <v>written by Larry Dane Brimner ; illustrated by Susan Miller</v>
      </c>
      <c r="G43" s="3" t="str">
        <f>"Chidren Press"</f>
        <v>Chidren Press</v>
      </c>
      <c r="H43" s="2" t="str">
        <f>"1999"</f>
        <v>1999</v>
      </c>
      <c r="I43" s="3" t="str">
        <f>""</f>
        <v/>
      </c>
    </row>
    <row r="44" spans="1:9" x14ac:dyDescent="0.3">
      <c r="A44" s="2">
        <v>43</v>
      </c>
      <c r="B44" s="4" t="s">
        <v>7</v>
      </c>
      <c r="C44" s="3" t="str">
        <f>"TFC000004918"</f>
        <v>TFC000004918</v>
      </c>
      <c r="D44" s="3" t="str">
        <f>"F800-23-0022-(AR0.6)"</f>
        <v>F800-23-0022-(AR0.6)</v>
      </c>
      <c r="E44" s="3" t="str">
        <f>"What a Bad Dog!"</f>
        <v>What a Bad Dog!</v>
      </c>
      <c r="F44" s="3" t="str">
        <f>"by Roderick Hunt, illustrated by Alex Brychta"</f>
        <v>by Roderick Hunt, illustrated by Alex Brychta</v>
      </c>
      <c r="G44" s="3" t="str">
        <f>"Oxford University Press"</f>
        <v>Oxford University Press</v>
      </c>
      <c r="H44" s="2" t="str">
        <f>"2011"</f>
        <v>2011</v>
      </c>
      <c r="I44" s="3" t="str">
        <f>""</f>
        <v/>
      </c>
    </row>
    <row r="45" spans="1:9" x14ac:dyDescent="0.3">
      <c r="A45" s="2">
        <v>44</v>
      </c>
      <c r="B45" s="4" t="s">
        <v>7</v>
      </c>
      <c r="C45" s="3" t="str">
        <f>"TFC000000034"</f>
        <v>TFC000000034</v>
      </c>
      <c r="D45" s="3" t="str">
        <f>"F800-20-0035-1(AR 0.6)"</f>
        <v>F800-20-0035-1(AR 0.6)</v>
      </c>
      <c r="E45" s="3" t="str">
        <f>"Kipper the clown"</f>
        <v>Kipper the clown</v>
      </c>
      <c r="F45" s="3" t="str">
        <f>"written by Roderick Hunt ; illustrated by Alex Brychta"</f>
        <v>written by Roderick Hunt ; illustrated by Alex Brychta</v>
      </c>
      <c r="G45" s="3" t="str">
        <f>"Oxford University Press"</f>
        <v>Oxford University Press</v>
      </c>
      <c r="H45" s="2" t="str">
        <f>"2011"</f>
        <v>2011</v>
      </c>
      <c r="I45" s="3" t="str">
        <f>""</f>
        <v/>
      </c>
    </row>
    <row r="46" spans="1:9" x14ac:dyDescent="0.3">
      <c r="A46" s="2">
        <v>45</v>
      </c>
      <c r="B46" s="4" t="s">
        <v>7</v>
      </c>
      <c r="C46" s="3" t="str">
        <f>"TFC000000027"</f>
        <v>TFC000000027</v>
      </c>
      <c r="D46" s="3" t="str">
        <f>"F800-20-0028-1(AR 0.6)"</f>
        <v>F800-20-0028-1(AR 0.6)</v>
      </c>
      <c r="E46" s="3" t="str">
        <f>"(The)foot book : Dr. Seuss's wacky book of opposites. (AR0.6)"</f>
        <v>(The)foot book : Dr. Seuss's wacky book of opposites. (AR0.6)</v>
      </c>
      <c r="F46" s="3" t="str">
        <f>"Dr. Seuss"</f>
        <v>Dr. Seuss</v>
      </c>
      <c r="G46" s="3" t="str">
        <f>"Random House"</f>
        <v>Random House</v>
      </c>
      <c r="H46" s="2" t="str">
        <f>"1996"</f>
        <v>1996</v>
      </c>
      <c r="I46" s="3" t="str">
        <f>""</f>
        <v/>
      </c>
    </row>
    <row r="47" spans="1:9" x14ac:dyDescent="0.3">
      <c r="A47" s="2">
        <v>46</v>
      </c>
      <c r="B47" s="4">
        <v>0.6</v>
      </c>
      <c r="C47" s="3" t="str">
        <f>"TFC000000035"</f>
        <v>TFC000000035</v>
      </c>
      <c r="D47" s="3" t="str">
        <f>"F800-20-0036-2(AR 0.6)"</f>
        <v>F800-20-0036-2(AR 0.6)</v>
      </c>
      <c r="E47" s="3" t="str">
        <f>"Kipper's balloon"</f>
        <v>Kipper's balloon</v>
      </c>
      <c r="F47" s="3" t="str">
        <f>"written by Roderick Hunt ; illustrated by Alex Brychta"</f>
        <v>written by Roderick Hunt ; illustrated by Alex Brychta</v>
      </c>
      <c r="G47" s="3" t="str">
        <f>"Oxford University Press"</f>
        <v>Oxford University Press</v>
      </c>
      <c r="H47" s="2" t="str">
        <f>"2011"</f>
        <v>2011</v>
      </c>
      <c r="I47" s="3" t="str">
        <f>""</f>
        <v/>
      </c>
    </row>
    <row r="48" spans="1:9" x14ac:dyDescent="0.3">
      <c r="A48" s="2">
        <v>47</v>
      </c>
      <c r="B48" s="4">
        <v>0.6</v>
      </c>
      <c r="C48" s="3" t="str">
        <f>"TFC000000036"</f>
        <v>TFC000000036</v>
      </c>
      <c r="D48" s="3" t="str">
        <f>"F800-20-0037-3(AR 0.6)"</f>
        <v>F800-20-0037-3(AR 0.6)</v>
      </c>
      <c r="E48" s="3" t="str">
        <f>"Kipper's laces"</f>
        <v>Kipper's laces</v>
      </c>
      <c r="F48" s="3" t="str">
        <f>"written by Roderick Hunt ; illustrated by Alex Brychta"</f>
        <v>written by Roderick Hunt ; illustrated by Alex Brychta</v>
      </c>
      <c r="G48" s="3" t="str">
        <f>"Oxford University Press"</f>
        <v>Oxford University Press</v>
      </c>
      <c r="H48" s="2" t="str">
        <f>"2011"</f>
        <v>2011</v>
      </c>
      <c r="I48" s="3" t="str">
        <f>""</f>
        <v/>
      </c>
    </row>
    <row r="49" spans="1:9" x14ac:dyDescent="0.3">
      <c r="A49" s="2">
        <v>48</v>
      </c>
      <c r="B49" s="4" t="s">
        <v>8</v>
      </c>
      <c r="C49" s="3" t="str">
        <f>"TFC000002932"</f>
        <v>TFC000002932</v>
      </c>
      <c r="D49" s="3" t="str">
        <f>"F800-20-0071-(AR 0.7)"</f>
        <v>F800-20-0071-(AR 0.7)</v>
      </c>
      <c r="E49" s="3" t="str">
        <f>"I went walking"</f>
        <v>I went walking</v>
      </c>
      <c r="F49" s="3" t="str">
        <f>"written by Sue Williams ; illustrated by Julie Vivas"</f>
        <v>written by Sue Williams ; illustrated by Julie Vivas</v>
      </c>
      <c r="G49" s="3" t="str">
        <f>"Houghton Mifflin Harcourt"</f>
        <v>Houghton Mifflin Harcourt</v>
      </c>
      <c r="H49" s="2" t="str">
        <f>"1990"</f>
        <v>1990</v>
      </c>
      <c r="I49" s="3" t="str">
        <f>""</f>
        <v/>
      </c>
    </row>
    <row r="50" spans="1:9" x14ac:dyDescent="0.3">
      <c r="A50" s="2">
        <v>49</v>
      </c>
      <c r="B50" s="4" t="s">
        <v>8</v>
      </c>
      <c r="C50" s="3" t="str">
        <f>"TFC000003008"</f>
        <v>TFC000003008</v>
      </c>
      <c r="D50" s="3" t="str">
        <f>"F800-20-0072-(AR 0.7)"</f>
        <v>F800-20-0072-(AR 0.7)</v>
      </c>
      <c r="E50" s="3" t="str">
        <f>"Poof! a bot!"</f>
        <v>Poof! a bot!</v>
      </c>
      <c r="F50" s="3" t="str">
        <f>"by David Milgrim"</f>
        <v>by David Milgrim</v>
      </c>
      <c r="G50" s="3" t="str">
        <f>"Simon Spotlight"</f>
        <v>Simon Spotlight</v>
      </c>
      <c r="H50" s="2" t="str">
        <f>"2018"</f>
        <v>2018</v>
      </c>
      <c r="I50" s="3" t="str">
        <f>""</f>
        <v/>
      </c>
    </row>
    <row r="51" spans="1:9" x14ac:dyDescent="0.3">
      <c r="A51" s="2">
        <v>50</v>
      </c>
      <c r="B51" s="4" t="s">
        <v>8</v>
      </c>
      <c r="C51" s="3" t="str">
        <f>"TFC000003139"</f>
        <v>TFC000003139</v>
      </c>
      <c r="D51" s="3" t="str">
        <f>"F800-20-0073-(AR 0.7)=2"</f>
        <v>F800-20-0073-(AR 0.7)=2</v>
      </c>
      <c r="E51" s="3" t="str">
        <f>"My friend is sad"</f>
        <v>My friend is sad</v>
      </c>
      <c r="F51" s="3" t="str">
        <f>"by Mo Willems"</f>
        <v>by Mo Willems</v>
      </c>
      <c r="G51" s="3" t="str">
        <f>"Hyperion Books for Children"</f>
        <v>Hyperion Books for Children</v>
      </c>
      <c r="H51" s="2" t="str">
        <f>"2007"</f>
        <v>2007</v>
      </c>
      <c r="I51" s="3" t="str">
        <f>""</f>
        <v/>
      </c>
    </row>
    <row r="52" spans="1:9" x14ac:dyDescent="0.3">
      <c r="A52" s="2">
        <v>51</v>
      </c>
      <c r="B52" s="4" t="s">
        <v>8</v>
      </c>
      <c r="C52" s="3" t="str">
        <f>"TFC000004287"</f>
        <v>TFC000004287</v>
      </c>
      <c r="D52" s="3" t="str">
        <f>"F800-22-0001-(AR 0.7)"</f>
        <v>F800-22-0001-(AR 0.7)</v>
      </c>
      <c r="E52" s="3" t="str">
        <f>"(The) Pigeon Wants a Puppy!"</f>
        <v>(The) Pigeon Wants a Puppy!</v>
      </c>
      <c r="F52" s="3" t="str">
        <f>"by Mo Willems"</f>
        <v>by Mo Willems</v>
      </c>
      <c r="G52" s="3" t="str">
        <f>"Hyperion Books for Children"</f>
        <v>Hyperion Books for Children</v>
      </c>
      <c r="H52" s="2" t="str">
        <f>"2008"</f>
        <v>2008</v>
      </c>
      <c r="I52" s="3" t="str">
        <f>""</f>
        <v/>
      </c>
    </row>
    <row r="53" spans="1:9" x14ac:dyDescent="0.3">
      <c r="A53" s="2">
        <v>52</v>
      </c>
      <c r="B53" s="4" t="s">
        <v>8</v>
      </c>
      <c r="C53" s="3" t="str">
        <f>"TFC000003196"</f>
        <v>TFC000003196</v>
      </c>
      <c r="D53" s="3" t="str">
        <f>"F800-21-0008-(AR 0.7)"</f>
        <v>F800-21-0008-(AR 0.7)</v>
      </c>
      <c r="E53" s="3" t="str">
        <f>"Biscuit and the little pup"</f>
        <v>Biscuit and the little pup</v>
      </c>
      <c r="F53" s="3" t="str">
        <f>"by Alyssa Satin Capucilli ; pictures by Pat Schories"</f>
        <v>by Alyssa Satin Capucilli ; pictures by Pat Schories</v>
      </c>
      <c r="G53" s="3" t="str">
        <f>"Scholastic"</f>
        <v>Scholastic</v>
      </c>
      <c r="H53" s="2" t="str">
        <f>"2008"</f>
        <v>2008</v>
      </c>
      <c r="I53" s="3" t="str">
        <f>""</f>
        <v/>
      </c>
    </row>
    <row r="54" spans="1:9" x14ac:dyDescent="0.3">
      <c r="A54" s="2">
        <v>53</v>
      </c>
      <c r="B54" s="4" t="s">
        <v>8</v>
      </c>
      <c r="C54" s="3" t="str">
        <f>"TFC000003565"</f>
        <v>TFC000003565</v>
      </c>
      <c r="D54" s="3" t="str">
        <f>"F800-21-0006-(AR 0.7)"</f>
        <v>F800-21-0006-(AR 0.7)</v>
      </c>
      <c r="E54" s="3" t="str">
        <f>"Max has a fish"</f>
        <v>Max has a fish</v>
      </c>
      <c r="F54" s="3" t="str">
        <f>"by Wiley Blevins ; illustrated by Ben Clanton"</f>
        <v>by Wiley Blevins ; illustrated by Ben Clanton</v>
      </c>
      <c r="G54" s="3" t="str">
        <f>"Penguin Young Readers"</f>
        <v>Penguin Young Readers</v>
      </c>
      <c r="H54" s="2" t="str">
        <f>"2012"</f>
        <v>2012</v>
      </c>
      <c r="I54" s="3" t="str">
        <f>""</f>
        <v/>
      </c>
    </row>
    <row r="55" spans="1:9" x14ac:dyDescent="0.3">
      <c r="A55" s="2">
        <v>54</v>
      </c>
      <c r="B55" s="4" t="s">
        <v>8</v>
      </c>
      <c r="C55" s="3" t="str">
        <f>"TFC000003595"</f>
        <v>TFC000003595</v>
      </c>
      <c r="D55" s="3" t="str">
        <f>"F800-21-0007-(AR 0.7)"</f>
        <v>F800-21-0007-(AR 0.7)</v>
      </c>
      <c r="E55" s="3" t="str">
        <f>"Goat in a boat"</f>
        <v>Goat in a boat</v>
      </c>
      <c r="F55" s="3" t="str">
        <f>"by Janee Trasler"</f>
        <v>by Janee Trasler</v>
      </c>
      <c r="G55" s="3" t="str">
        <f>"Acorn:Scholastic"</f>
        <v>Acorn:Scholastic</v>
      </c>
      <c r="H55" s="2" t="str">
        <f>"2020"</f>
        <v>2020</v>
      </c>
      <c r="I55" s="3" t="str">
        <f>""</f>
        <v/>
      </c>
    </row>
    <row r="56" spans="1:9" x14ac:dyDescent="0.3">
      <c r="A56" s="2">
        <v>55</v>
      </c>
      <c r="B56" s="4" t="s">
        <v>8</v>
      </c>
      <c r="C56" s="3" t="str">
        <f>"TFC000000066"</f>
        <v>TFC000000066</v>
      </c>
      <c r="D56" s="3" t="str">
        <f>"F800-20-0069-(AR 0.7)"</f>
        <v>F800-20-0069-(AR 0.7)</v>
      </c>
      <c r="E56" s="3" t="str">
        <f>"My friend is sad"</f>
        <v>My friend is sad</v>
      </c>
      <c r="F56" s="3" t="str">
        <f>"by Mo Willems"</f>
        <v>by Mo Willems</v>
      </c>
      <c r="G56" s="3" t="str">
        <f>"Hyperion Books for Children"</f>
        <v>Hyperion Books for Children</v>
      </c>
      <c r="H56" s="2" t="str">
        <f>"2007"</f>
        <v>2007</v>
      </c>
      <c r="I56" s="3" t="str">
        <f>""</f>
        <v/>
      </c>
    </row>
    <row r="57" spans="1:9" x14ac:dyDescent="0.3">
      <c r="A57" s="2">
        <v>56</v>
      </c>
      <c r="B57" s="4" t="s">
        <v>8</v>
      </c>
      <c r="C57" s="3" t="str">
        <f>"TFC000000065"</f>
        <v>TFC000000065</v>
      </c>
      <c r="D57" s="3" t="str">
        <f>"F800-20-0068-(AR 0.7)"</f>
        <v>F800-20-0068-(AR 0.7)</v>
      </c>
      <c r="E57" s="3" t="str">
        <f>"I am invited to a party!"</f>
        <v>I am invited to a party!</v>
      </c>
      <c r="F57" s="3" t="str">
        <f>"by Mo Willems"</f>
        <v>by Mo Willems</v>
      </c>
      <c r="G57" s="3" t="str">
        <f>"Hyperion DBG"</f>
        <v>Hyperion DBG</v>
      </c>
      <c r="H57" s="2" t="str">
        <f>"2007"</f>
        <v>2007</v>
      </c>
      <c r="I57" s="3" t="str">
        <f>""</f>
        <v/>
      </c>
    </row>
    <row r="58" spans="1:9" x14ac:dyDescent="0.3">
      <c r="A58" s="2">
        <v>57</v>
      </c>
      <c r="B58" s="4" t="s">
        <v>8</v>
      </c>
      <c r="C58" s="3" t="str">
        <f>"TFC000000063"</f>
        <v>TFC000000063</v>
      </c>
      <c r="D58" s="3" t="str">
        <f>"F800-20-0066-(AR 0.7)"</f>
        <v>F800-20-0066-(AR 0.7)</v>
      </c>
      <c r="E58" s="3" t="str">
        <f>"(The)doghouse"</f>
        <v>(The)doghouse</v>
      </c>
      <c r="F58" s="3" t="str">
        <f>"Jan Thomas"</f>
        <v>Jan Thomas</v>
      </c>
      <c r="G58" s="3" t="str">
        <f>"Houghton Mifflin Harcourt"</f>
        <v>Houghton Mifflin Harcourt</v>
      </c>
      <c r="H58" s="2" t="str">
        <f>"2008"</f>
        <v>2008</v>
      </c>
      <c r="I58" s="3" t="str">
        <f>""</f>
        <v/>
      </c>
    </row>
    <row r="59" spans="1:9" x14ac:dyDescent="0.3">
      <c r="A59" s="2">
        <v>58</v>
      </c>
      <c r="B59" s="4" t="s">
        <v>8</v>
      </c>
      <c r="C59" s="3" t="str">
        <f>"TFC000000062"</f>
        <v>TFC000000062</v>
      </c>
      <c r="D59" s="3" t="str">
        <f>"F800-20-0065-(AR 0.7)"</f>
        <v>F800-20-0065-(AR 0.7)</v>
      </c>
      <c r="E59" s="3" t="str">
        <f>"Frog and fly : six slurpy stories"</f>
        <v>Frog and fly : six slurpy stories</v>
      </c>
      <c r="F59" s="3" t="str">
        <f>"Jeff Mack"</f>
        <v>Jeff Mack</v>
      </c>
      <c r="G59" s="3" t="str">
        <f>"Philomel Books"</f>
        <v>Philomel Books</v>
      </c>
      <c r="H59" s="2" t="str">
        <f>"2012"</f>
        <v>2012</v>
      </c>
      <c r="I59" s="3" t="str">
        <f>""</f>
        <v/>
      </c>
    </row>
    <row r="60" spans="1:9" x14ac:dyDescent="0.3">
      <c r="A60" s="2">
        <v>59</v>
      </c>
      <c r="B60" s="4" t="s">
        <v>8</v>
      </c>
      <c r="C60" s="3" t="str">
        <f>"TFC000000061"</f>
        <v>TFC000000061</v>
      </c>
      <c r="D60" s="3" t="str">
        <f>"F800-20-0064-(AR 0.7)"</f>
        <v>F800-20-0064-(AR 0.7)</v>
      </c>
      <c r="E60" s="3" t="str">
        <f>"Wet paint"</f>
        <v>Wet paint</v>
      </c>
      <c r="F60" s="3" t="str">
        <f>"written by Roderick Hunt ; illustrated by Alex Brychta"</f>
        <v>written by Roderick Hunt ; illustrated by Alex Brychta</v>
      </c>
      <c r="G60" s="3" t="str">
        <f>"Oxford University Press"</f>
        <v>Oxford University Press</v>
      </c>
      <c r="H60" s="2" t="str">
        <f>"2011"</f>
        <v>2011</v>
      </c>
      <c r="I60" s="3" t="str">
        <f>""</f>
        <v/>
      </c>
    </row>
    <row r="61" spans="1:9" x14ac:dyDescent="0.3">
      <c r="A61" s="2">
        <v>60</v>
      </c>
      <c r="B61" s="4" t="s">
        <v>8</v>
      </c>
      <c r="C61" s="3" t="str">
        <f>"TFC000000060"</f>
        <v>TFC000000060</v>
      </c>
      <c r="D61" s="3" t="str">
        <f>"F800-20-0063-(AR 0.7)"</f>
        <v>F800-20-0063-(AR 0.7)</v>
      </c>
      <c r="E61" s="3" t="str">
        <f>"Stuck in the mud"</f>
        <v>Stuck in the mud</v>
      </c>
      <c r="F61" s="3" t="str">
        <f>"written by Roderick Hunt ; illustrated by Alex Brychta"</f>
        <v>written by Roderick Hunt ; illustrated by Alex Brychta</v>
      </c>
      <c r="G61" s="3" t="str">
        <f>"Oxford University Press"</f>
        <v>Oxford University Press</v>
      </c>
      <c r="H61" s="2" t="str">
        <f>"2011"</f>
        <v>2011</v>
      </c>
      <c r="I61" s="3" t="str">
        <f>""</f>
        <v/>
      </c>
    </row>
    <row r="62" spans="1:9" x14ac:dyDescent="0.3">
      <c r="A62" s="2">
        <v>61</v>
      </c>
      <c r="B62" s="4" t="s">
        <v>8</v>
      </c>
      <c r="C62" s="3" t="str">
        <f>"TFC000000059"</f>
        <v>TFC000000059</v>
      </c>
      <c r="D62" s="3" t="str">
        <f>"F800-20-0062-(AR 0.7)"</f>
        <v>F800-20-0062-(AR 0.7)</v>
      </c>
      <c r="E62" s="3" t="str">
        <f>"(The)steel band"</f>
        <v>(The)steel band</v>
      </c>
      <c r="F62" s="3" t="str">
        <f>"written by Roderick Hunt ; illustrated by Alex Brychta"</f>
        <v>written by Roderick Hunt ; illustrated by Alex Brychta</v>
      </c>
      <c r="G62" s="3" t="str">
        <f>"Oxford University Press"</f>
        <v>Oxford University Press</v>
      </c>
      <c r="H62" s="2" t="str">
        <f>"2011"</f>
        <v>2011</v>
      </c>
      <c r="I62" s="3" t="str">
        <f>""</f>
        <v/>
      </c>
    </row>
    <row r="63" spans="1:9" x14ac:dyDescent="0.3">
      <c r="A63" s="2">
        <v>62</v>
      </c>
      <c r="B63" s="4" t="s">
        <v>8</v>
      </c>
      <c r="C63" s="3" t="str">
        <f>"TFC000000058"</f>
        <v>TFC000000058</v>
      </c>
      <c r="D63" s="3" t="str">
        <f>"F800-20-0061-(AR 0.7)"</f>
        <v>F800-20-0061-(AR 0.7)</v>
      </c>
      <c r="E63" s="3" t="str">
        <f>"(The)rope swing"</f>
        <v>(The)rope swing</v>
      </c>
      <c r="F63" s="3" t="str">
        <f>"written by Roderick Hunt ; illustrated by Alex Brychta"</f>
        <v>written by Roderick Hunt ; illustrated by Alex Brychta</v>
      </c>
      <c r="G63" s="3" t="str">
        <f>"Oxford University Press"</f>
        <v>Oxford University Press</v>
      </c>
      <c r="H63" s="2" t="str">
        <f>"2011"</f>
        <v>2011</v>
      </c>
      <c r="I63" s="3" t="str">
        <f>""</f>
        <v/>
      </c>
    </row>
    <row r="64" spans="1:9" x14ac:dyDescent="0.3">
      <c r="A64" s="2">
        <v>63</v>
      </c>
      <c r="B64" s="4" t="s">
        <v>8</v>
      </c>
      <c r="C64" s="3" t="str">
        <f>"TFC000000057"</f>
        <v>TFC000000057</v>
      </c>
      <c r="D64" s="3" t="str">
        <f>"F800-20-0060-(AR 0.7)"</f>
        <v>F800-20-0060-(AR 0.7)</v>
      </c>
      <c r="E64" s="3" t="str">
        <f>"(The)hole in the sand"</f>
        <v>(The)hole in the sand</v>
      </c>
      <c r="F64" s="3" t="str">
        <f>"written by Roderick Hunt ; illustrated by Alex Brychta"</f>
        <v>written by Roderick Hunt ; illustrated by Alex Brychta</v>
      </c>
      <c r="G64" s="3" t="str">
        <f>"Oxford University Press"</f>
        <v>Oxford University Press</v>
      </c>
      <c r="H64" s="2" t="str">
        <f>"2011"</f>
        <v>2011</v>
      </c>
      <c r="I64" s="3" t="str">
        <f>""</f>
        <v/>
      </c>
    </row>
    <row r="65" spans="1:9" x14ac:dyDescent="0.3">
      <c r="A65" s="2">
        <v>64</v>
      </c>
      <c r="B65" s="4" t="s">
        <v>8</v>
      </c>
      <c r="C65" s="3" t="str">
        <f>"TFC000000056"</f>
        <v>TFC000000056</v>
      </c>
      <c r="D65" s="3" t="str">
        <f>"F800-20-0059-(AR 0.7)"</f>
        <v>F800-20-0059-(AR 0.7)</v>
      </c>
      <c r="E65" s="3" t="str">
        <f>"(The)cold day"</f>
        <v>(The)cold day</v>
      </c>
      <c r="F65" s="3" t="str">
        <f>"written by Roderick Hunt ; illustrated by Alex Brychta"</f>
        <v>written by Roderick Hunt ; illustrated by Alex Brychta</v>
      </c>
      <c r="G65" s="3" t="str">
        <f>"Oxford University Press"</f>
        <v>Oxford University Press</v>
      </c>
      <c r="H65" s="2" t="str">
        <f>"2011"</f>
        <v>2011</v>
      </c>
      <c r="I65" s="3" t="str">
        <f>""</f>
        <v/>
      </c>
    </row>
    <row r="66" spans="1:9" x14ac:dyDescent="0.3">
      <c r="A66" s="2">
        <v>65</v>
      </c>
      <c r="B66" s="4" t="s">
        <v>8</v>
      </c>
      <c r="C66" s="3" t="str">
        <f>"TFC000000055"</f>
        <v>TFC000000055</v>
      </c>
      <c r="D66" s="3" t="str">
        <f>"F800-20-0058-(AR 0.7)"</f>
        <v>F800-20-0058-(AR 0.7)</v>
      </c>
      <c r="E66" s="3" t="str">
        <f>"(The)carnival"</f>
        <v>(The)carnival</v>
      </c>
      <c r="F66" s="3" t="str">
        <f>"written by Roderick Hunt ; illustrated by Alex Brychta"</f>
        <v>written by Roderick Hunt ; illustrated by Alex Brychta</v>
      </c>
      <c r="G66" s="3" t="str">
        <f>"Oxford University Press"</f>
        <v>Oxford University Press</v>
      </c>
      <c r="H66" s="2" t="str">
        <f>"2011"</f>
        <v>2011</v>
      </c>
      <c r="I66" s="3" t="str">
        <f>""</f>
        <v/>
      </c>
    </row>
    <row r="67" spans="1:9" x14ac:dyDescent="0.3">
      <c r="A67" s="2">
        <v>66</v>
      </c>
      <c r="B67" s="4" t="s">
        <v>8</v>
      </c>
      <c r="C67" s="3" t="str">
        <f>"TFC000000054"</f>
        <v>TFC000000054</v>
      </c>
      <c r="D67" s="3" t="str">
        <f>"F800-20-0057-(AR 0.7)"</f>
        <v>F800-20-0057-(AR 0.7)</v>
      </c>
      <c r="E67" s="3" t="str">
        <f>"By the stream"</f>
        <v>By the stream</v>
      </c>
      <c r="F67" s="3" t="str">
        <f>"written by Roderick Hunt ; illustrated by Alex Brychta"</f>
        <v>written by Roderick Hunt ; illustrated by Alex Brychta</v>
      </c>
      <c r="G67" s="3" t="str">
        <f>"Oxford University Press"</f>
        <v>Oxford University Press</v>
      </c>
      <c r="H67" s="2" t="str">
        <f>"2011"</f>
        <v>2011</v>
      </c>
      <c r="I67" s="3" t="str">
        <f>""</f>
        <v/>
      </c>
    </row>
    <row r="68" spans="1:9" x14ac:dyDescent="0.3">
      <c r="A68" s="2">
        <v>67</v>
      </c>
      <c r="B68" s="4" t="s">
        <v>8</v>
      </c>
      <c r="C68" s="3" t="str">
        <f>"TFC000000053"</f>
        <v>TFC000000053</v>
      </c>
      <c r="D68" s="3" t="str">
        <f>"F800-20-0056-(AR 0.7)"</f>
        <v>F800-20-0056-(AR 0.7)</v>
      </c>
      <c r="E68" s="3" t="str">
        <f>"Bull's-eye!"</f>
        <v>Bull's-eye!</v>
      </c>
      <c r="F68" s="3" t="str">
        <f>"written by Roderick Hunt ; illustrated by Alex Brychta"</f>
        <v>written by Roderick Hunt ; illustrated by Alex Brychta</v>
      </c>
      <c r="G68" s="3" t="str">
        <f>"Oxford University Press"</f>
        <v>Oxford University Press</v>
      </c>
      <c r="H68" s="2" t="str">
        <f>"2011"</f>
        <v>2011</v>
      </c>
      <c r="I68" s="3" t="str">
        <f>""</f>
        <v/>
      </c>
    </row>
    <row r="69" spans="1:9" x14ac:dyDescent="0.3">
      <c r="A69" s="2">
        <v>68</v>
      </c>
      <c r="B69" s="4" t="s">
        <v>8</v>
      </c>
      <c r="C69" s="3" t="str">
        <f>"TFC000000052"</f>
        <v>TFC000000052</v>
      </c>
      <c r="D69" s="3" t="str">
        <f>"F800-20-0055-(AR 0.7)"</f>
        <v>F800-20-0055-(AR 0.7)</v>
      </c>
      <c r="E69" s="3" t="str">
        <f>"Book week"</f>
        <v>Book week</v>
      </c>
      <c r="F69" s="3" t="str">
        <f>"written by Roderick Hunt ; illustrated by Alex Brychta"</f>
        <v>written by Roderick Hunt ; illustrated by Alex Brychta</v>
      </c>
      <c r="G69" s="3" t="str">
        <f>"Oxford University Press"</f>
        <v>Oxford University Press</v>
      </c>
      <c r="H69" s="2" t="str">
        <f>"2011"</f>
        <v>2011</v>
      </c>
      <c r="I69" s="3" t="str">
        <f>""</f>
        <v/>
      </c>
    </row>
    <row r="70" spans="1:9" x14ac:dyDescent="0.3">
      <c r="A70" s="2">
        <v>69</v>
      </c>
      <c r="B70" s="4" t="s">
        <v>8</v>
      </c>
      <c r="C70" s="3" t="str">
        <f>"TFC000000050"</f>
        <v>TFC000000050</v>
      </c>
      <c r="D70" s="3" t="str">
        <f>"F800-20-0053-(AR 0.7)"</f>
        <v>F800-20-0053-(AR 0.7)</v>
      </c>
      <c r="E70" s="3" t="str">
        <f>"(The)baby-sitter"</f>
        <v>(The)baby-sitter</v>
      </c>
      <c r="F70" s="3" t="str">
        <f>"written by Roderick Hunt ; illustrated by Alex Brychta"</f>
        <v>written by Roderick Hunt ; illustrated by Alex Brychta</v>
      </c>
      <c r="G70" s="3" t="str">
        <f>"Oxford University Press"</f>
        <v>Oxford University Press</v>
      </c>
      <c r="H70" s="2" t="str">
        <f>"2011"</f>
        <v>2011</v>
      </c>
      <c r="I70" s="3" t="str">
        <f>""</f>
        <v/>
      </c>
    </row>
    <row r="71" spans="1:9" x14ac:dyDescent="0.3">
      <c r="A71" s="2">
        <v>70</v>
      </c>
      <c r="B71" s="4" t="s">
        <v>8</v>
      </c>
      <c r="C71" s="3" t="str">
        <f>"TFC000000049"</f>
        <v>TFC000000049</v>
      </c>
      <c r="D71" s="3" t="str">
        <f>"F800-20-0052-(AR 0.7)"</f>
        <v>F800-20-0052-(AR 0.7)</v>
      </c>
      <c r="E71" s="3" t="str">
        <f>"(The)Pup speaks up : a phonics Reader"</f>
        <v>(The)Pup speaks up : a phonics Reader</v>
      </c>
      <c r="F71" s="3" t="str">
        <f>"by Anna Jane Hays ; illustrated by Valeria Petrone"</f>
        <v>by Anna Jane Hays ; illustrated by Valeria Petrone</v>
      </c>
      <c r="G71" s="3" t="str">
        <f>"Random House"</f>
        <v>Random House</v>
      </c>
      <c r="H71" s="2" t="str">
        <f>"2003"</f>
        <v>2003</v>
      </c>
      <c r="I71" s="3" t="str">
        <f>""</f>
        <v/>
      </c>
    </row>
    <row r="72" spans="1:9" x14ac:dyDescent="0.3">
      <c r="A72" s="2">
        <v>71</v>
      </c>
      <c r="B72" s="4" t="s">
        <v>8</v>
      </c>
      <c r="C72" s="3" t="str">
        <f>"TFC000000048"</f>
        <v>TFC000000048</v>
      </c>
      <c r="D72" s="3" t="str">
        <f>"F800-20-0051-(AR 0.7)"</f>
        <v>F800-20-0051-(AR 0.7)</v>
      </c>
      <c r="E72" s="3" t="str">
        <f>"Little owl lost"</f>
        <v>Little owl lost</v>
      </c>
      <c r="F72" s="3" t="str">
        <f>"Chris Haughton"</f>
        <v>Chris Haughton</v>
      </c>
      <c r="G72" s="3" t="str">
        <f>"Candlewick Press"</f>
        <v>Candlewick Press</v>
      </c>
      <c r="H72" s="2" t="str">
        <f>"2010"</f>
        <v>2010</v>
      </c>
      <c r="I72" s="3" t="str">
        <f>""</f>
        <v/>
      </c>
    </row>
    <row r="73" spans="1:9" x14ac:dyDescent="0.3">
      <c r="A73" s="2">
        <v>72</v>
      </c>
      <c r="B73" s="4" t="s">
        <v>8</v>
      </c>
      <c r="C73" s="3" t="str">
        <f>"TFC000000047"</f>
        <v>TFC000000047</v>
      </c>
      <c r="D73" s="3" t="str">
        <f>"F800-20-0050-(AR 0.7)"</f>
        <v>F800-20-0050-(AR 0.7)</v>
      </c>
      <c r="E73" s="3" t="str">
        <f>"Siesta"</f>
        <v>Siesta</v>
      </c>
      <c r="F73" s="3" t="str">
        <f>"by Ginger Foglesong Guy ; pictures by Rene King Moreno"</f>
        <v>by Ginger Foglesong Guy ; pictures by Rene King Moreno</v>
      </c>
      <c r="G73" s="3" t="str">
        <f>"Scholastic"</f>
        <v>Scholastic</v>
      </c>
      <c r="H73" s="2" t="str">
        <f>"2005"</f>
        <v>2005</v>
      </c>
      <c r="I73" s="3" t="str">
        <f>""</f>
        <v/>
      </c>
    </row>
    <row r="74" spans="1:9" x14ac:dyDescent="0.3">
      <c r="A74" s="2">
        <v>73</v>
      </c>
      <c r="B74" s="4" t="s">
        <v>8</v>
      </c>
      <c r="C74" s="3" t="str">
        <f>"TFC000000046"</f>
        <v>TFC000000046</v>
      </c>
      <c r="D74" s="3" t="str">
        <f>"F800-20-0049-(AR 0.7)"</f>
        <v>F800-20-0049-(AR 0.7)</v>
      </c>
      <c r="E74" s="3" t="str">
        <f>"Biscuit and the lost teddy bear"</f>
        <v>Biscuit and the lost teddy bear</v>
      </c>
      <c r="F74" s="3" t="str">
        <f>"story by Alyssa Satin Capucilli ; pictures by Pat Schories"</f>
        <v>story by Alyssa Satin Capucilli ; pictures by Pat Schories</v>
      </c>
      <c r="G74" s="3" t="str">
        <f>"Harper"</f>
        <v>Harper</v>
      </c>
      <c r="H74" s="2" t="str">
        <f>"2011"</f>
        <v>2011</v>
      </c>
      <c r="I74" s="3" t="str">
        <f>""</f>
        <v/>
      </c>
    </row>
    <row r="75" spans="1:9" x14ac:dyDescent="0.3">
      <c r="A75" s="2">
        <v>74</v>
      </c>
      <c r="B75" s="4" t="s">
        <v>8</v>
      </c>
      <c r="C75" s="3" t="str">
        <f>"TFC000000045"</f>
        <v>TFC000000045</v>
      </c>
      <c r="D75" s="3" t="str">
        <f>"F800-20-0048-(AR 0.7)"</f>
        <v>F800-20-0048-(AR 0.7)</v>
      </c>
      <c r="E75" s="3" t="str">
        <f>"(A)box can be many things"</f>
        <v>(A)box can be many things</v>
      </c>
      <c r="F75" s="3" t="str">
        <f>"written by Dand Meachen Rau ; illustrated by Paige Billin-Frye"</f>
        <v>written by Dand Meachen Rau ; illustrated by Paige Billin-Frye</v>
      </c>
      <c r="G75" s="3" t="str">
        <f>"Chidren Press"</f>
        <v>Chidren Press</v>
      </c>
      <c r="H75" s="2" t="str">
        <f>"1997"</f>
        <v>1997</v>
      </c>
      <c r="I75" s="3" t="str">
        <f>""</f>
        <v/>
      </c>
    </row>
    <row r="76" spans="1:9" x14ac:dyDescent="0.3">
      <c r="A76" s="2">
        <v>75</v>
      </c>
      <c r="B76" s="4" t="s">
        <v>8</v>
      </c>
      <c r="C76" s="3" t="str">
        <f>"TFC000000044"</f>
        <v>TFC000000044</v>
      </c>
      <c r="D76" s="3" t="str">
        <f>"F800-20-0047-(AR 0.7)"</f>
        <v>F800-20-0047-(AR 0.7)</v>
      </c>
      <c r="E76" s="3" t="str">
        <f>"(The)Lion and the mouse"</f>
        <v>(The)Lion and the mouse</v>
      </c>
      <c r="F76" s="3" t="str">
        <f>"by Gail Herman ; illustrated by Lisa McCue"</f>
        <v>by Gail Herman ; illustrated by Lisa McCue</v>
      </c>
      <c r="G76" s="3" t="str">
        <f>"Random House"</f>
        <v>Random House</v>
      </c>
      <c r="H76" s="2" t="str">
        <f>"1998"</f>
        <v>1998</v>
      </c>
      <c r="I76" s="3" t="str">
        <f>""</f>
        <v/>
      </c>
    </row>
    <row r="77" spans="1:9" x14ac:dyDescent="0.3">
      <c r="A77" s="2">
        <v>76</v>
      </c>
      <c r="B77" s="4" t="s">
        <v>8</v>
      </c>
      <c r="C77" s="3" t="str">
        <f>"TFC000004639"</f>
        <v>TFC000004639</v>
      </c>
      <c r="D77" s="3" t="str">
        <f>"F800-22-0448-(AR0.7)"</f>
        <v>F800-22-0448-(AR0.7)</v>
      </c>
      <c r="E77" s="3" t="str">
        <f>"Where Is Bina Bear?"</f>
        <v>Where Is Bina Bear?</v>
      </c>
      <c r="F77" s="3" t="str">
        <f>"by Mike Curato"</f>
        <v>by Mike Curato</v>
      </c>
      <c r="G77" s="3" t="str">
        <f>"Henry Holt &amp; Company"</f>
        <v>Henry Holt &amp; Company</v>
      </c>
      <c r="H77" s="2" t="str">
        <f>"2022"</f>
        <v>2022</v>
      </c>
      <c r="I77" s="3" t="str">
        <f>""</f>
        <v/>
      </c>
    </row>
    <row r="78" spans="1:9" x14ac:dyDescent="0.3">
      <c r="A78" s="2">
        <v>77</v>
      </c>
      <c r="B78" s="4" t="s">
        <v>9</v>
      </c>
      <c r="C78" s="3" t="str">
        <f>"TFC000004199"</f>
        <v>TFC000004199</v>
      </c>
      <c r="D78" s="3" t="str">
        <f>"F800-22-0090-(AR 0.8)"</f>
        <v>F800-22-0090-(AR 0.8)</v>
      </c>
      <c r="E78" s="3" t="str">
        <f>"What am i?"</f>
        <v>What am i?</v>
      </c>
      <c r="F78" s="3" t="str">
        <f>"by N. N Charles, illustrated Leo Dillon, Diane Dillon"</f>
        <v>by N. N Charles, illustrated Leo Dillon, Diane Dillon</v>
      </c>
      <c r="G78" s="3" t="str">
        <f>"Scholastic Inc"</f>
        <v>Scholastic Inc</v>
      </c>
      <c r="H78" s="2" t="str">
        <f>"2001"</f>
        <v>2001</v>
      </c>
      <c r="I78" s="2" t="s">
        <v>2</v>
      </c>
    </row>
    <row r="79" spans="1:9" x14ac:dyDescent="0.3">
      <c r="A79" s="2">
        <v>78</v>
      </c>
      <c r="B79" s="4" t="s">
        <v>9</v>
      </c>
      <c r="C79" s="3" t="str">
        <f>"TFC000004133"</f>
        <v>TFC000004133</v>
      </c>
      <c r="D79" s="3" t="str">
        <f>"F800-21-0013-(AR 0.8)"</f>
        <v>F800-21-0013-(AR 0.8)</v>
      </c>
      <c r="E79" s="3" t="str">
        <f>"Whose Mouse Are You?"</f>
        <v>Whose Mouse Are You?</v>
      </c>
      <c r="F79" s="3" t="str">
        <f>"by Robert Kraus, pictures by Jose Aruego"</f>
        <v>by Robert Kraus, pictures by Jose Aruego</v>
      </c>
      <c r="G79" s="3" t="str">
        <f>"E·PUBLIC:Aladdin"</f>
        <v>E·PUBLIC:Aladdin</v>
      </c>
      <c r="H79" s="2" t="str">
        <f>"1998"</f>
        <v>1998</v>
      </c>
      <c r="I79" s="2" t="s">
        <v>2</v>
      </c>
    </row>
    <row r="80" spans="1:9" x14ac:dyDescent="0.3">
      <c r="A80" s="2">
        <v>79</v>
      </c>
      <c r="B80" s="4" t="s">
        <v>9</v>
      </c>
      <c r="C80" s="3" t="str">
        <f>"TFC000003195"</f>
        <v>TFC000003195</v>
      </c>
      <c r="D80" s="3" t="str">
        <f>"F800-21-0014-(AR 0.8)"</f>
        <v>F800-21-0014-(AR 0.8)</v>
      </c>
      <c r="E80" s="3" t="str">
        <f>"Biscuit's day at the farm"</f>
        <v>Biscuit's day at the farm</v>
      </c>
      <c r="F80" s="3" t="str">
        <f>"by Alyssa Satin Capucilli ; illustrated by Pat Schories"</f>
        <v>by Alyssa Satin Capucilli ; illustrated by Pat Schories</v>
      </c>
      <c r="G80" s="3" t="str">
        <f>"HarperTrophy"</f>
        <v>HarperTrophy</v>
      </c>
      <c r="H80" s="2" t="str">
        <f>"2015"</f>
        <v>2015</v>
      </c>
      <c r="I80" s="3" t="str">
        <f>""</f>
        <v/>
      </c>
    </row>
    <row r="81" spans="1:9" x14ac:dyDescent="0.3">
      <c r="A81" s="2">
        <v>80</v>
      </c>
      <c r="B81" s="4" t="s">
        <v>9</v>
      </c>
      <c r="C81" s="3" t="str">
        <f>"TFC000003198"</f>
        <v>TFC000003198</v>
      </c>
      <c r="D81" s="3" t="str">
        <f>"F800-21-0009-(AR 0.8)"</f>
        <v>F800-21-0009-(AR 0.8)</v>
      </c>
      <c r="E81" s="3" t="str">
        <f>"Biscuit finds a friend"</f>
        <v>Biscuit finds a friend</v>
      </c>
      <c r="F81" s="3" t="str">
        <f>"story by Alyssa Satin Capucilli ; pictures by Pat Schories"</f>
        <v>story by Alyssa Satin Capucilli ; pictures by Pat Schories</v>
      </c>
      <c r="G81" s="3" t="str">
        <f>"Scholastic"</f>
        <v>Scholastic</v>
      </c>
      <c r="H81" s="2" t="str">
        <f>"1997"</f>
        <v>1997</v>
      </c>
      <c r="I81" s="3" t="str">
        <f>""</f>
        <v/>
      </c>
    </row>
    <row r="82" spans="1:9" x14ac:dyDescent="0.3">
      <c r="A82" s="2">
        <v>81</v>
      </c>
      <c r="B82" s="4" t="s">
        <v>9</v>
      </c>
      <c r="C82" s="3" t="str">
        <f>"TFC000003257"</f>
        <v>TFC000003257</v>
      </c>
      <c r="D82" s="3" t="str">
        <f>"F800-21-0010-(AR 0.8)"</f>
        <v>F800-21-0010-(AR 0.8)</v>
      </c>
      <c r="E82" s="3" t="str">
        <f>"Who ate my book?"</f>
        <v>Who ate my book?</v>
      </c>
      <c r="F82" s="3" t="str">
        <f>"by Tina Kugler"</f>
        <v>by Tina Kugler</v>
      </c>
      <c r="G82" s="3" t="str">
        <f>"Random House USA Inc"</f>
        <v>Random House USA Inc</v>
      </c>
      <c r="H82" s="2" t="str">
        <f>"2020"</f>
        <v>2020</v>
      </c>
      <c r="I82" s="3" t="str">
        <f>""</f>
        <v/>
      </c>
    </row>
    <row r="83" spans="1:9" x14ac:dyDescent="0.3">
      <c r="A83" s="2">
        <v>82</v>
      </c>
      <c r="B83" s="4" t="s">
        <v>9</v>
      </c>
      <c r="C83" s="3" t="str">
        <f>"TFC000004016"</f>
        <v>TFC000004016</v>
      </c>
      <c r="D83" s="3" t="str">
        <f>"F800-21-0012-(AR 0.8)"</f>
        <v>F800-21-0012-(AR 0.8)</v>
      </c>
      <c r="E83" s="3" t="str">
        <f>"(The)Perfect spot"</f>
        <v>(The)Perfect spot</v>
      </c>
      <c r="F83" s="3" t="str">
        <f>"by Alice Hemming, illustrated by Gisela Bohorquez"</f>
        <v>by Alice Hemming, illustrated by Gisela Bohorquez</v>
      </c>
      <c r="G83" s="3" t="str">
        <f>"Lerner"</f>
        <v>Lerner</v>
      </c>
      <c r="H83" s="2" t="str">
        <f>"2021"</f>
        <v>2021</v>
      </c>
      <c r="I83" s="3" t="str">
        <f>""</f>
        <v/>
      </c>
    </row>
    <row r="84" spans="1:9" x14ac:dyDescent="0.3">
      <c r="A84" s="2">
        <v>83</v>
      </c>
      <c r="B84" s="4" t="s">
        <v>9</v>
      </c>
      <c r="C84" s="3" t="str">
        <f>"TFC000003596"</f>
        <v>TFC000003596</v>
      </c>
      <c r="D84" s="3" t="str">
        <f>"F800-21-0011-(AR 0.8)"</f>
        <v>F800-21-0011-(AR 0.8)</v>
      </c>
      <c r="E84" s="3" t="str">
        <f>"Hog on a log"</f>
        <v>Hog on a log</v>
      </c>
      <c r="F84" s="3" t="str">
        <f>"by Janee Trasler"</f>
        <v>by Janee Trasler</v>
      </c>
      <c r="G84" s="3" t="str">
        <f>"Acorn:Scholastic"</f>
        <v>Acorn:Scholastic</v>
      </c>
      <c r="H84" s="2" t="str">
        <f>"2020"</f>
        <v>2020</v>
      </c>
      <c r="I84" s="3" t="str">
        <f>""</f>
        <v/>
      </c>
    </row>
    <row r="85" spans="1:9" x14ac:dyDescent="0.3">
      <c r="A85" s="2">
        <v>84</v>
      </c>
      <c r="B85" s="4" t="s">
        <v>9</v>
      </c>
      <c r="C85" s="3" t="str">
        <f>"TFC000004328"</f>
        <v>TFC000004328</v>
      </c>
      <c r="D85" s="3" t="str">
        <f>"F800-22-0137-(AR 0.8)"</f>
        <v>F800-22-0137-(AR 0.8)</v>
      </c>
      <c r="E85" s="3" t="str">
        <f>"In"</f>
        <v>In</v>
      </c>
      <c r="F85" s="3" t="str">
        <f>"by Nikki McClure"</f>
        <v>by Nikki McClure</v>
      </c>
      <c r="G85" s="3" t="str">
        <f>"Abrams Appleseed"</f>
        <v>Abrams Appleseed</v>
      </c>
      <c r="H85" s="2" t="str">
        <f>"2015"</f>
        <v>2015</v>
      </c>
      <c r="I85" s="3" t="str">
        <f>""</f>
        <v/>
      </c>
    </row>
    <row r="86" spans="1:9" x14ac:dyDescent="0.3">
      <c r="A86" s="2">
        <v>85</v>
      </c>
      <c r="B86" s="4" t="s">
        <v>9</v>
      </c>
      <c r="C86" s="3" t="str">
        <f>"TFC000004329"</f>
        <v>TFC000004329</v>
      </c>
      <c r="D86" s="3" t="str">
        <f>"F300-22-0138-(AR 0.8)"</f>
        <v>F300-22-0138-(AR 0.8)</v>
      </c>
      <c r="E86" s="3" t="str">
        <f>"Pom and pim"</f>
        <v>Pom and pim</v>
      </c>
      <c r="F86" s="3" t="str">
        <f>"by Lena Landstrom, Olof Landstrom, translated by Julia Marshall"</f>
        <v>by Lena Landstrom, Olof Landstrom, translated by Julia Marshall</v>
      </c>
      <c r="G86" s="3" t="str">
        <f>"Gecko Press"</f>
        <v>Gecko Press</v>
      </c>
      <c r="H86" s="2" t="str">
        <f>"2019"</f>
        <v>2019</v>
      </c>
      <c r="I86" s="3" t="str">
        <f>""</f>
        <v/>
      </c>
    </row>
    <row r="87" spans="1:9" x14ac:dyDescent="0.3">
      <c r="A87" s="2">
        <v>86</v>
      </c>
      <c r="B87" s="4" t="s">
        <v>9</v>
      </c>
      <c r="C87" s="3" t="str">
        <f>"TFC000000092"</f>
        <v>TFC000000092</v>
      </c>
      <c r="D87" s="3" t="str">
        <f>"F800-20-0098-(AR 0.8)"</f>
        <v>F800-20-0098-(AR 0.8)</v>
      </c>
      <c r="E87" s="3" t="str">
        <f>"Listen to my trumpet!"</f>
        <v>Listen to my trumpet!</v>
      </c>
      <c r="F87" s="3" t="str">
        <f>"by Mo Willems"</f>
        <v>by Mo Willems</v>
      </c>
      <c r="G87" s="3" t="str">
        <f>"Hyperion Books for Children"</f>
        <v>Hyperion Books for Children</v>
      </c>
      <c r="H87" s="2" t="str">
        <f>"2012"</f>
        <v>2012</v>
      </c>
      <c r="I87" s="3" t="str">
        <f>""</f>
        <v/>
      </c>
    </row>
    <row r="88" spans="1:9" x14ac:dyDescent="0.3">
      <c r="A88" s="2">
        <v>87</v>
      </c>
      <c r="B88" s="4" t="s">
        <v>9</v>
      </c>
      <c r="C88" s="3" t="str">
        <f>"TFC000000091"</f>
        <v>TFC000000091</v>
      </c>
      <c r="D88" s="3" t="str">
        <f>"F800-20-0097-(AR 0.8)"</f>
        <v>F800-20-0097-(AR 0.8)</v>
      </c>
      <c r="E88" s="3" t="str">
        <f>"I will surprise my friend!"</f>
        <v>I will surprise my friend!</v>
      </c>
      <c r="F88" s="3" t="str">
        <f>"by Mo Willems"</f>
        <v>by Mo Willems</v>
      </c>
      <c r="G88" s="3" t="str">
        <f>"Hyperion Books for Children"</f>
        <v>Hyperion Books for Children</v>
      </c>
      <c r="H88" s="2" t="str">
        <f>"2008"</f>
        <v>2008</v>
      </c>
      <c r="I88" s="3" t="str">
        <f>""</f>
        <v/>
      </c>
    </row>
    <row r="89" spans="1:9" x14ac:dyDescent="0.3">
      <c r="A89" s="2">
        <v>88</v>
      </c>
      <c r="B89" s="4" t="s">
        <v>9</v>
      </c>
      <c r="C89" s="3" t="str">
        <f>"TFC000000090"</f>
        <v>TFC000000090</v>
      </c>
      <c r="D89" s="3" t="str">
        <f>"F800-20-0096-(AR 0.8)"</f>
        <v>F800-20-0096-(AR 0.8)</v>
      </c>
      <c r="E89" s="3" t="str">
        <f>"Pumpkin trouble"</f>
        <v>Pumpkin trouble</v>
      </c>
      <c r="F89" s="3" t="str">
        <f>"Jan Thomas"</f>
        <v>Jan Thomas</v>
      </c>
      <c r="G89" s="3" t="str">
        <f>"Harper"</f>
        <v>Harper</v>
      </c>
      <c r="H89" s="2" t="str">
        <f>"2011"</f>
        <v>2011</v>
      </c>
      <c r="I89" s="3" t="str">
        <f>""</f>
        <v/>
      </c>
    </row>
    <row r="90" spans="1:9" x14ac:dyDescent="0.3">
      <c r="A90" s="2">
        <v>89</v>
      </c>
      <c r="B90" s="4" t="s">
        <v>9</v>
      </c>
      <c r="C90" s="3" t="str">
        <f>"TFC000000089"</f>
        <v>TFC000000089</v>
      </c>
      <c r="D90" s="3" t="str">
        <f>"F800-20-0095-(AR 0.8)"</f>
        <v>F800-20-0095-(AR 0.8)</v>
      </c>
      <c r="E90" s="3" t="str">
        <f>"Madlenka's dog"</f>
        <v>Madlenka's dog</v>
      </c>
      <c r="F90" s="3" t="str">
        <f>"Peter Sis"</f>
        <v>Peter Sis</v>
      </c>
      <c r="G90" s="3" t="str">
        <f>"Farrar Straus Giroux"</f>
        <v>Farrar Straus Giroux</v>
      </c>
      <c r="H90" s="2" t="str">
        <f>"2002"</f>
        <v>2002</v>
      </c>
      <c r="I90" s="3" t="str">
        <f>""</f>
        <v/>
      </c>
    </row>
    <row r="91" spans="1:9" x14ac:dyDescent="0.3">
      <c r="A91" s="2">
        <v>90</v>
      </c>
      <c r="B91" s="4" t="s">
        <v>9</v>
      </c>
      <c r="C91" s="3" t="str">
        <f>"TFC000000088"</f>
        <v>TFC000000088</v>
      </c>
      <c r="D91" s="3" t="str">
        <f>"F800-20-0094-(AR 0.8)"</f>
        <v>F800-20-0094-(AR 0.8)</v>
      </c>
      <c r="E91" s="3" t="str">
        <f>"(A)cat and a dog"</f>
        <v>(A)cat and a dog</v>
      </c>
      <c r="F91" s="3" t="str">
        <f>"Claire Masurel, Bob Kolar"</f>
        <v>Claire Masurel, Bob Kolar</v>
      </c>
      <c r="G91" s="3" t="str">
        <f>"Northsouth Books"</f>
        <v>Northsouth Books</v>
      </c>
      <c r="H91" s="2" t="str">
        <f>"2003"</f>
        <v>2003</v>
      </c>
      <c r="I91" s="3" t="str">
        <f>""</f>
        <v/>
      </c>
    </row>
    <row r="92" spans="1:9" x14ac:dyDescent="0.3">
      <c r="A92" s="2">
        <v>91</v>
      </c>
      <c r="B92" s="4" t="s">
        <v>9</v>
      </c>
      <c r="C92" s="3" t="str">
        <f>"TFC000000087"</f>
        <v>TFC000000087</v>
      </c>
      <c r="D92" s="3" t="str">
        <f>"F800-20-0093-(AR 0.8)"</f>
        <v>F800-20-0093-(AR 0.8)</v>
      </c>
      <c r="E92" s="3" t="str">
        <f>"(The)snowman"</f>
        <v>(The)snowman</v>
      </c>
      <c r="F92" s="3" t="str">
        <f>"written by Roderick Hunt ; illustrated by Alex Brychta"</f>
        <v>written by Roderick Hunt ; illustrated by Alex Brychta</v>
      </c>
      <c r="G92" s="3" t="str">
        <f>"Oxford University Press"</f>
        <v>Oxford University Press</v>
      </c>
      <c r="H92" s="2" t="str">
        <f>"2011"</f>
        <v>2011</v>
      </c>
      <c r="I92" s="3" t="str">
        <f>""</f>
        <v/>
      </c>
    </row>
    <row r="93" spans="1:9" x14ac:dyDescent="0.3">
      <c r="A93" s="2">
        <v>92</v>
      </c>
      <c r="B93" s="4" t="s">
        <v>9</v>
      </c>
      <c r="C93" s="3" t="str">
        <f>"TFC000000086"</f>
        <v>TFC000000086</v>
      </c>
      <c r="D93" s="3" t="str">
        <f>"F800-20-0092-(AR 0.8)"</f>
        <v>F800-20-0092-(AR 0.8)</v>
      </c>
      <c r="E93" s="3" t="str">
        <f>"Poor old mum!"</f>
        <v>Poor old mum!</v>
      </c>
      <c r="F93" s="3" t="str">
        <f>"written by Roderick Hunt ; illustrated by Alex Brychta"</f>
        <v>written by Roderick Hunt ; illustrated by Alex Brychta</v>
      </c>
      <c r="G93" s="3" t="str">
        <f>"Oxford University Press"</f>
        <v>Oxford University Press</v>
      </c>
      <c r="H93" s="2" t="str">
        <f>"2011"</f>
        <v>2011</v>
      </c>
      <c r="I93" s="3" t="str">
        <f>""</f>
        <v/>
      </c>
    </row>
    <row r="94" spans="1:9" x14ac:dyDescent="0.3">
      <c r="A94" s="2">
        <v>93</v>
      </c>
      <c r="B94" s="4" t="s">
        <v>9</v>
      </c>
      <c r="C94" s="3" t="str">
        <f>"TFC000000085"</f>
        <v>TFC000000085</v>
      </c>
      <c r="D94" s="3" t="str">
        <f>"F800-20-0091-(AR 0.8)"</f>
        <v>F800-20-0091-(AR 0.8)</v>
      </c>
      <c r="E94" s="3" t="str">
        <f>"Kipper's idea"</f>
        <v>Kipper's idea</v>
      </c>
      <c r="F94" s="3" t="str">
        <f>"written by Roderick Hunt ; illustrated by Alex Brychta"</f>
        <v>written by Roderick Hunt ; illustrated by Alex Brychta</v>
      </c>
      <c r="G94" s="3" t="str">
        <f>"Oxford University Press"</f>
        <v>Oxford University Press</v>
      </c>
      <c r="H94" s="2" t="str">
        <f>"2011"</f>
        <v>2011</v>
      </c>
      <c r="I94" s="3" t="str">
        <f>""</f>
        <v/>
      </c>
    </row>
    <row r="95" spans="1:9" x14ac:dyDescent="0.3">
      <c r="A95" s="2">
        <v>94</v>
      </c>
      <c r="B95" s="4" t="s">
        <v>9</v>
      </c>
      <c r="C95" s="3" t="str">
        <f>"TFC000000084"</f>
        <v>TFC000000084</v>
      </c>
      <c r="D95" s="3" t="str">
        <f>"F800-20-0090-(AR 0.8)"</f>
        <v>F800-20-0090-(AR 0.8)</v>
      </c>
      <c r="E95" s="3" t="str">
        <f>"Kipper's birthday"</f>
        <v>Kipper's birthday</v>
      </c>
      <c r="F95" s="3" t="str">
        <f>"written by Roderick Hunt ; illustrated by Alex Brychta"</f>
        <v>written by Roderick Hunt ; illustrated by Alex Brychta</v>
      </c>
      <c r="G95" s="3" t="str">
        <f>"Oxford University Press"</f>
        <v>Oxford University Press</v>
      </c>
      <c r="H95" s="2" t="str">
        <f>"2011"</f>
        <v>2011</v>
      </c>
      <c r="I95" s="3" t="str">
        <f>""</f>
        <v/>
      </c>
    </row>
    <row r="96" spans="1:9" x14ac:dyDescent="0.3">
      <c r="A96" s="2">
        <v>95</v>
      </c>
      <c r="B96" s="4" t="s">
        <v>9</v>
      </c>
      <c r="C96" s="3" t="str">
        <f>"TFC000000083"</f>
        <v>TFC000000083</v>
      </c>
      <c r="D96" s="3" t="str">
        <f>"F800-20-0089-(AR 0.8)"</f>
        <v>F800-20-0089-(AR 0.8)</v>
      </c>
      <c r="E96" s="3" t="str">
        <f>"(The)egg hunt"</f>
        <v>(The)egg hunt</v>
      </c>
      <c r="F96" s="3" t="str">
        <f>"written by Roderick Hunt ; illustrated by Alex Brychta"</f>
        <v>written by Roderick Hunt ; illustrated by Alex Brychta</v>
      </c>
      <c r="G96" s="3" t="str">
        <f>"Oxford University Press"</f>
        <v>Oxford University Press</v>
      </c>
      <c r="H96" s="2" t="str">
        <f>"2011"</f>
        <v>2011</v>
      </c>
      <c r="I96" s="3" t="str">
        <f>""</f>
        <v/>
      </c>
    </row>
    <row r="97" spans="1:9" x14ac:dyDescent="0.3">
      <c r="A97" s="2">
        <v>96</v>
      </c>
      <c r="B97" s="4" t="s">
        <v>9</v>
      </c>
      <c r="C97" s="3" t="str">
        <f>"TFC000000082"</f>
        <v>TFC000000082</v>
      </c>
      <c r="D97" s="3" t="str">
        <f>"F800-20-0088-(AR 0.8)"</f>
        <v>F800-20-0088-(AR 0.8)</v>
      </c>
      <c r="E97" s="3" t="str">
        <f>"Come in!"</f>
        <v>Come in!</v>
      </c>
      <c r="F97" s="3" t="str">
        <f>"written by Roderick Hunt ; illustrated by Alex Brychta"</f>
        <v>written by Roderick Hunt ; illustrated by Alex Brychta</v>
      </c>
      <c r="G97" s="3" t="str">
        <f>"Oxford University Press"</f>
        <v>Oxford University Press</v>
      </c>
      <c r="H97" s="2" t="str">
        <f>"2011"</f>
        <v>2011</v>
      </c>
      <c r="I97" s="3" t="str">
        <f>""</f>
        <v/>
      </c>
    </row>
    <row r="98" spans="1:9" x14ac:dyDescent="0.3">
      <c r="A98" s="2">
        <v>97</v>
      </c>
      <c r="B98" s="4" t="s">
        <v>9</v>
      </c>
      <c r="C98" s="3" t="str">
        <f>"TFC000000081"</f>
        <v>TFC000000081</v>
      </c>
      <c r="D98" s="3" t="str">
        <f>"F800-20-0087-(AR 0.8)"</f>
        <v>F800-20-0087-(AR 0.8)</v>
      </c>
      <c r="E98" s="3" t="str">
        <f>"(The)chase"</f>
        <v>(The)chase</v>
      </c>
      <c r="F98" s="3" t="str">
        <f>"written by Roderick Hunt ; illustrated by Alex Brychta"</f>
        <v>written by Roderick Hunt ; illustrated by Alex Brychta</v>
      </c>
      <c r="G98" s="3" t="str">
        <f>"Oxford University Press"</f>
        <v>Oxford University Press</v>
      </c>
      <c r="H98" s="2" t="str">
        <f>"2011"</f>
        <v>2011</v>
      </c>
      <c r="I98" s="3" t="str">
        <f>""</f>
        <v/>
      </c>
    </row>
    <row r="99" spans="1:9" x14ac:dyDescent="0.3">
      <c r="A99" s="2">
        <v>98</v>
      </c>
      <c r="B99" s="4" t="s">
        <v>9</v>
      </c>
      <c r="C99" s="3" t="str">
        <f>"TFC000000080"</f>
        <v>TFC000000080</v>
      </c>
      <c r="D99" s="3" t="str">
        <f>"F800-20-0086-(AR 0.8)"</f>
        <v>F800-20-0086-(AR 0.8)</v>
      </c>
      <c r="E99" s="3" t="str">
        <f>"Shh! We have a plan"</f>
        <v>Shh! We have a plan</v>
      </c>
      <c r="F99" s="3" t="str">
        <f>"Chris Haughton"</f>
        <v>Chris Haughton</v>
      </c>
      <c r="G99" s="3" t="str">
        <f>"Candlewick Press"</f>
        <v>Candlewick Press</v>
      </c>
      <c r="H99" s="2" t="str">
        <f>"2014"</f>
        <v>2014</v>
      </c>
      <c r="I99" s="3" t="str">
        <f>""</f>
        <v/>
      </c>
    </row>
    <row r="100" spans="1:9" x14ac:dyDescent="0.3">
      <c r="A100" s="2">
        <v>99</v>
      </c>
      <c r="B100" s="4" t="s">
        <v>9</v>
      </c>
      <c r="C100" s="3" t="str">
        <f>"TFC000000079"</f>
        <v>TFC000000079</v>
      </c>
      <c r="D100" s="3" t="str">
        <f>"F800-20-0085-(AR 0.8)"</f>
        <v>F800-20-0085-(AR 0.8)</v>
      </c>
      <c r="E100" s="3" t="str">
        <f>"Maybe a bear ate it!"</f>
        <v>Maybe a bear ate it!</v>
      </c>
      <c r="F100" s="3" t="str">
        <f>"by Robie H. Harris ; illustrated by Michael Emberley"</f>
        <v>by Robie H. Harris ; illustrated by Michael Emberley</v>
      </c>
      <c r="G100" s="3" t="str">
        <f>"Cartwheel Books"</f>
        <v>Cartwheel Books</v>
      </c>
      <c r="H100" s="2" t="str">
        <f>"2017"</f>
        <v>2017</v>
      </c>
      <c r="I100" s="3" t="str">
        <f>""</f>
        <v/>
      </c>
    </row>
    <row r="101" spans="1:9" x14ac:dyDescent="0.3">
      <c r="A101" s="2">
        <v>100</v>
      </c>
      <c r="B101" s="4" t="s">
        <v>9</v>
      </c>
      <c r="C101" s="3" t="str">
        <f>"TFC000000078"</f>
        <v>TFC000000078</v>
      </c>
      <c r="D101" s="3" t="str">
        <f>"F800-20-0084-(AR 0.8)"</f>
        <v>F800-20-0084-(AR 0.8)</v>
      </c>
      <c r="E101" s="3" t="str">
        <f>"If I had a dragon"</f>
        <v>If I had a dragon</v>
      </c>
      <c r="F101" s="3" t="str">
        <f>"written and illustrated by Tom Ellery, Amanda Ellery"</f>
        <v>written and illustrated by Tom Ellery, Amanda Ellery</v>
      </c>
      <c r="G101" s="3" t="str">
        <f>"Simon &amp; Schuster Books for Young Readers"</f>
        <v>Simon &amp; Schuster Books for Young Readers</v>
      </c>
      <c r="H101" s="2" t="str">
        <f>"2006"</f>
        <v>2006</v>
      </c>
      <c r="I101" s="3" t="str">
        <f>""</f>
        <v/>
      </c>
    </row>
    <row r="102" spans="1:9" x14ac:dyDescent="0.3">
      <c r="A102" s="2">
        <v>101</v>
      </c>
      <c r="B102" s="4" t="s">
        <v>9</v>
      </c>
      <c r="C102" s="3" t="str">
        <f>"TFC000000077"</f>
        <v>TFC000000077</v>
      </c>
      <c r="D102" s="3" t="str">
        <f>"F800-20-0083-(AR 0.8)"</f>
        <v>F800-20-0083-(AR 0.8)</v>
      </c>
      <c r="E102" s="3" t="str">
        <f>"Maisy goes camping"</f>
        <v>Maisy goes camping</v>
      </c>
      <c r="F102" s="3" t="str">
        <f>"by Lucy Cousins"</f>
        <v>by Lucy Cousins</v>
      </c>
      <c r="G102" s="3" t="str">
        <f>"Walker Books"</f>
        <v>Walker Books</v>
      </c>
      <c r="H102" s="2" t="str">
        <f>"2009"</f>
        <v>2009</v>
      </c>
      <c r="I102" s="3" t="str">
        <f>""</f>
        <v/>
      </c>
    </row>
    <row r="103" spans="1:9" x14ac:dyDescent="0.3">
      <c r="A103" s="2">
        <v>102</v>
      </c>
      <c r="B103" s="4" t="s">
        <v>9</v>
      </c>
      <c r="C103" s="3" t="str">
        <f>"TFC000000076"</f>
        <v>TFC000000076</v>
      </c>
      <c r="D103" s="3" t="str">
        <f>"F800-20-0082-(AR 0.8)"</f>
        <v>F800-20-0082-(AR 0.8)</v>
      </c>
      <c r="E103" s="3" t="str">
        <f>"Biscuit's big friend"</f>
        <v>Biscuit's big friend</v>
      </c>
      <c r="F103" s="3" t="str">
        <f>"story by Alyssa Satin Capucilli ; pictures by Pat Schories"</f>
        <v>story by Alyssa Satin Capucilli ; pictures by Pat Schories</v>
      </c>
      <c r="G103" s="3" t="str">
        <f>"HarperTrophy"</f>
        <v>HarperTrophy</v>
      </c>
      <c r="H103" s="2" t="str">
        <f>"2003"</f>
        <v>2003</v>
      </c>
      <c r="I103" s="3" t="str">
        <f>""</f>
        <v/>
      </c>
    </row>
    <row r="104" spans="1:9" x14ac:dyDescent="0.3">
      <c r="A104" s="2">
        <v>103</v>
      </c>
      <c r="B104" s="4" t="s">
        <v>9</v>
      </c>
      <c r="C104" s="3" t="str">
        <f>"TFC000000075"</f>
        <v>TFC000000075</v>
      </c>
      <c r="D104" s="3" t="str">
        <f>"F800-20-0081-(AR 0.8)"</f>
        <v>F800-20-0081-(AR 0.8)</v>
      </c>
      <c r="E104" s="3" t="str">
        <f>"Biscuit meets the class pet"</f>
        <v>Biscuit meets the class pet</v>
      </c>
      <c r="F104" s="3" t="str">
        <f>"story by Alyssa Satin Capucilli ; pictures by Pat Schories"</f>
        <v>story by Alyssa Satin Capucilli ; pictures by Pat Schories</v>
      </c>
      <c r="G104" s="3" t="str">
        <f>"HarperTrophy"</f>
        <v>HarperTrophy</v>
      </c>
      <c r="H104" s="2" t="str">
        <f>"2010"</f>
        <v>2010</v>
      </c>
      <c r="I104" s="3" t="str">
        <f>""</f>
        <v/>
      </c>
    </row>
    <row r="105" spans="1:9" x14ac:dyDescent="0.3">
      <c r="A105" s="2">
        <v>104</v>
      </c>
      <c r="B105" s="4" t="s">
        <v>9</v>
      </c>
      <c r="C105" s="3" t="str">
        <f>"TFC000000074"</f>
        <v>TFC000000074</v>
      </c>
      <c r="D105" s="3" t="str">
        <f>"F800-20-0080-(AR 0.8)"</f>
        <v>F800-20-0080-(AR 0.8)</v>
      </c>
      <c r="E105" s="3" t="str">
        <f>"Biscuit finds a friend"</f>
        <v>Biscuit finds a friend</v>
      </c>
      <c r="F105" s="3" t="str">
        <f>"story by Alyssa Satin Capucilli ; pictures by Pat Schories"</f>
        <v>story by Alyssa Satin Capucilli ; pictures by Pat Schories</v>
      </c>
      <c r="G105" s="3" t="str">
        <f>"HarperTrophy"</f>
        <v>HarperTrophy</v>
      </c>
      <c r="H105" s="2" t="str">
        <f>"1997"</f>
        <v>1997</v>
      </c>
      <c r="I105" s="3" t="str">
        <f>""</f>
        <v/>
      </c>
    </row>
    <row r="106" spans="1:9" x14ac:dyDescent="0.3">
      <c r="A106" s="2">
        <v>105</v>
      </c>
      <c r="B106" s="4" t="s">
        <v>9</v>
      </c>
      <c r="C106" s="3" t="str">
        <f>"TFC000000073"</f>
        <v>TFC000000073</v>
      </c>
      <c r="D106" s="3" t="str">
        <f>"F800-20-0079-(AR 0.8)"</f>
        <v>F800-20-0079-(AR 0.8)</v>
      </c>
      <c r="E106" s="3" t="str">
        <f>"Z is for Moose"</f>
        <v>Z is for Moose</v>
      </c>
      <c r="F106" s="3" t="str">
        <f>"by Kelly Bingham ; pictures by Paul O. Zelinsky"</f>
        <v>by Kelly Bingham ; pictures by Paul O. Zelinsky</v>
      </c>
      <c r="G106" s="3" t="str">
        <f>"Greenwillow Books"</f>
        <v>Greenwillow Books</v>
      </c>
      <c r="H106" s="2" t="str">
        <f>"2012"</f>
        <v>2012</v>
      </c>
      <c r="I106" s="3" t="str">
        <f>""</f>
        <v/>
      </c>
    </row>
    <row r="107" spans="1:9" x14ac:dyDescent="0.3">
      <c r="A107" s="2">
        <v>106</v>
      </c>
      <c r="B107" s="4" t="s">
        <v>9</v>
      </c>
      <c r="C107" s="3" t="str">
        <f>"TFC000000072"</f>
        <v>TFC000000072</v>
      </c>
      <c r="D107" s="3" t="str">
        <f>"F800-20-0078-(AR 0.8)"</f>
        <v>F800-20-0078-(AR 0.8)</v>
      </c>
      <c r="E107" s="3" t="str">
        <f>"Have you seen elephan"</f>
        <v>Have you seen elephan</v>
      </c>
      <c r="F107" s="3" t="str">
        <f>"David Barrow."</f>
        <v>David Barrow.</v>
      </c>
      <c r="G107" s="3" t="str">
        <f>"Gecko Press"</f>
        <v>Gecko Press</v>
      </c>
      <c r="H107" s="2" t="str">
        <f>"2019"</f>
        <v>2019</v>
      </c>
      <c r="I107" s="3" t="str">
        <f>""</f>
        <v/>
      </c>
    </row>
    <row r="108" spans="1:9" x14ac:dyDescent="0.3">
      <c r="A108" s="2">
        <v>107</v>
      </c>
      <c r="B108" s="4" t="s">
        <v>9</v>
      </c>
      <c r="C108" s="3" t="str">
        <f>"TFC000000071"</f>
        <v>TFC000000071</v>
      </c>
      <c r="D108" s="3" t="str">
        <f>"F800-20-0077-(AR 0.8)"</f>
        <v>F800-20-0077-(AR 0.8)</v>
      </c>
      <c r="E108" s="3" t="str">
        <f>"Andy that's my nam"</f>
        <v>Andy that's my nam</v>
      </c>
      <c r="F108" s="3" t="str">
        <f>"story and pictures by Tomie DePaola"</f>
        <v>story and pictures by Tomie DePaola</v>
      </c>
      <c r="G108" s="3" t="str">
        <f>"Simon &amp; Schuster Books for Young Readers"</f>
        <v>Simon &amp; Schuster Books for Young Readers</v>
      </c>
      <c r="H108" s="2" t="str">
        <f>"2015"</f>
        <v>2015</v>
      </c>
      <c r="I108" s="3" t="str">
        <f>""</f>
        <v/>
      </c>
    </row>
    <row r="109" spans="1:9" x14ac:dyDescent="0.3">
      <c r="A109" s="2">
        <v>108</v>
      </c>
      <c r="B109" s="4" t="s">
        <v>9</v>
      </c>
      <c r="C109" s="3" t="str">
        <f>"TFC000000070"</f>
        <v>TFC000000070</v>
      </c>
      <c r="D109" s="3" t="str">
        <f>"F800-20-0076-(AR 0.8)"</f>
        <v>F800-20-0076-(AR 0.8)</v>
      </c>
      <c r="E109" s="3" t="str">
        <f>"My world : a companion to goodnight moon"</f>
        <v>My world : a companion to goodnight moon</v>
      </c>
      <c r="F109" s="3" t="str">
        <f>"Margaret Wise Brown ; pictures by Clement Hurd"</f>
        <v>Margaret Wise Brown ; pictures by Clement Hurd</v>
      </c>
      <c r="G109" s="3" t="str">
        <f>"HarperCollins Publishers"</f>
        <v>HarperCollins Publishers</v>
      </c>
      <c r="H109" s="2" t="str">
        <f>"2001"</f>
        <v>2001</v>
      </c>
      <c r="I109" s="3" t="str">
        <f>""</f>
        <v/>
      </c>
    </row>
    <row r="110" spans="1:9" x14ac:dyDescent="0.3">
      <c r="A110" s="2">
        <v>109</v>
      </c>
      <c r="B110" s="4" t="s">
        <v>9</v>
      </c>
      <c r="C110" s="3" t="str">
        <f>"TFC000000069"</f>
        <v>TFC000000069</v>
      </c>
      <c r="D110" s="3" t="str">
        <f>"F800-20-0075-(AR 0.8)"</f>
        <v>F800-20-0075-(AR 0.8)</v>
      </c>
      <c r="E110" s="3" t="str">
        <f>"(The)snowman"</f>
        <v>(The)snowman</v>
      </c>
      <c r="F110" s="3" t="str">
        <f>"by Raymond Briggs ; adapted by Michelle Knudsen"</f>
        <v>by Raymond Briggs ; adapted by Michelle Knudsen</v>
      </c>
      <c r="G110" s="3" t="str">
        <f>"Random House"</f>
        <v>Random House</v>
      </c>
      <c r="H110" s="2" t="str">
        <f>"1999"</f>
        <v>1999</v>
      </c>
      <c r="I110" s="3" t="str">
        <f>""</f>
        <v/>
      </c>
    </row>
    <row r="111" spans="1:9" x14ac:dyDescent="0.3">
      <c r="A111" s="2">
        <v>110</v>
      </c>
      <c r="B111" s="4" t="s">
        <v>9</v>
      </c>
      <c r="C111" s="3" t="str">
        <f>"TFC000000068"</f>
        <v>TFC000000068</v>
      </c>
      <c r="D111" s="3" t="str">
        <f>"F300-20-0074-(AR 0.8)"</f>
        <v>F300-20-0074-(AR 0.8)</v>
      </c>
      <c r="E111" s="3" t="str">
        <f>"Spring is here"</f>
        <v>Spring is here</v>
      </c>
      <c r="F111" s="3" t="str">
        <f>"Taro Gomi"</f>
        <v>Taro Gomi</v>
      </c>
      <c r="G111" s="3" t="str">
        <f>"Chronicle Books"</f>
        <v>Chronicle Books</v>
      </c>
      <c r="H111" s="2" t="str">
        <f>"2010"</f>
        <v>2010</v>
      </c>
      <c r="I111" s="3" t="str">
        <f>""</f>
        <v/>
      </c>
    </row>
    <row r="112" spans="1:9" x14ac:dyDescent="0.3">
      <c r="A112" s="2">
        <v>111</v>
      </c>
      <c r="B112" s="4" t="s">
        <v>9</v>
      </c>
      <c r="C112" s="3" t="str">
        <f>"TFC000004641"</f>
        <v>TFC000004641</v>
      </c>
      <c r="D112" s="3" t="str">
        <f>"F800-22-0450-(AR0.8)"</f>
        <v>F800-22-0450-(AR0.8)</v>
      </c>
      <c r="E112" s="3" t="str">
        <f>"Pill Bug Does Not Need Anybody"</f>
        <v>Pill Bug Does Not Need Anybody</v>
      </c>
      <c r="F112" s="3" t="str">
        <f>"by Jonathan Fenske"</f>
        <v>by Jonathan Fenske</v>
      </c>
      <c r="G112" s="3" t="str">
        <f>"Simon Spotlight"</f>
        <v>Simon Spotlight</v>
      </c>
      <c r="H112" s="2" t="str">
        <f>"2021"</f>
        <v>2021</v>
      </c>
      <c r="I112" s="3" t="str">
        <f>""</f>
        <v/>
      </c>
    </row>
    <row r="113" spans="1:9" x14ac:dyDescent="0.3">
      <c r="A113" s="2">
        <v>112</v>
      </c>
      <c r="B113" s="4" t="s">
        <v>9</v>
      </c>
      <c r="C113" s="3" t="str">
        <f>"TFC000004640"</f>
        <v>TFC000004640</v>
      </c>
      <c r="D113" s="3" t="str">
        <f>"F800-22-0449-(AR0.8)"</f>
        <v>F800-22-0449-(AR0.8)</v>
      </c>
      <c r="E113" s="3" t="str">
        <f>"Hudson and Tallulah : take sides"</f>
        <v>Hudson and Tallulah : take sides</v>
      </c>
      <c r="F113" s="3" t="str">
        <f>"by Anna Kang, illustrated by Christopher Weyant"</f>
        <v>by Anna Kang, illustrated by Christopher Weyant</v>
      </c>
      <c r="G113" s="3" t="str">
        <f>"Two Lions"</f>
        <v>Two Lions</v>
      </c>
      <c r="H113" s="2" t="str">
        <f>"2021"</f>
        <v>2021</v>
      </c>
      <c r="I113" s="3" t="str">
        <f>""</f>
        <v/>
      </c>
    </row>
    <row r="114" spans="1:9" x14ac:dyDescent="0.3">
      <c r="A114" s="2">
        <v>113</v>
      </c>
      <c r="B114" s="4" t="s">
        <v>10</v>
      </c>
      <c r="C114" s="3" t="str">
        <f>"TFC000003656"</f>
        <v>TFC000003656</v>
      </c>
      <c r="D114" s="3" t="str">
        <f>"F800-21-0015-(AR 0.9)"</f>
        <v>F800-21-0015-(AR 0.9)</v>
      </c>
      <c r="E114" s="3" t="str">
        <f>"(A)Parade of elephants"</f>
        <v>(A)Parade of elephants</v>
      </c>
      <c r="F114" s="3" t="str">
        <f>"by Kevin Henkes"</f>
        <v>by Kevin Henkes</v>
      </c>
      <c r="G114" s="3" t="str">
        <f>"Greenwillow Books, an imprint of HarperCollinsPublishers:Jybooks"</f>
        <v>Greenwillow Books, an imprint of HarperCollinsPublishers:Jybooks</v>
      </c>
      <c r="H114" s="2" t="str">
        <f>"2018"</f>
        <v>2018</v>
      </c>
      <c r="I114" s="2" t="s">
        <v>2</v>
      </c>
    </row>
    <row r="115" spans="1:9" x14ac:dyDescent="0.3">
      <c r="A115" s="2">
        <v>114</v>
      </c>
      <c r="B115" s="4" t="s">
        <v>10</v>
      </c>
      <c r="C115" s="3" t="str">
        <f>"TFC000002819"</f>
        <v>TFC000002819</v>
      </c>
      <c r="D115" s="3" t="str">
        <f>"F800-20-0132-(AR 0.9)"</f>
        <v>F800-20-0132-(AR 0.9)</v>
      </c>
      <c r="E115" s="3" t="str">
        <f>"Tug of war."</f>
        <v>Tug of war.</v>
      </c>
      <c r="F115" s="3" t="str">
        <f>"written by Roderick Hunt ; illustrated by Alex Brychta"</f>
        <v>written by Roderick Hunt ; illustrated by Alex Brychta</v>
      </c>
      <c r="G115" s="3" t="str">
        <f>"Oxford University Press"</f>
        <v>Oxford University Press</v>
      </c>
      <c r="H115" s="2" t="str">
        <f>"2011"</f>
        <v>2011</v>
      </c>
      <c r="I115" s="3" t="str">
        <f>""</f>
        <v/>
      </c>
    </row>
    <row r="116" spans="1:9" x14ac:dyDescent="0.3">
      <c r="A116" s="2">
        <v>115</v>
      </c>
      <c r="B116" s="4" t="s">
        <v>10</v>
      </c>
      <c r="C116" s="3" t="str">
        <f>"TFC000003193"</f>
        <v>TFC000003193</v>
      </c>
      <c r="D116" s="3" t="str">
        <f>"F800-21-0021-(AR 0.9)"</f>
        <v>F800-21-0021-(AR 0.9)</v>
      </c>
      <c r="E116" s="3" t="str">
        <f>"Biscuit flies a kite"</f>
        <v>Biscuit flies a kite</v>
      </c>
      <c r="F116" s="3" t="str">
        <f>"story by Alyssa Satin Capucilli ; pictures by Pat Schories"</f>
        <v>story by Alyssa Satin Capucilli ; pictures by Pat Schories</v>
      </c>
      <c r="G116" s="3" t="str">
        <f>"Harper"</f>
        <v>Harper</v>
      </c>
      <c r="H116" s="2" t="str">
        <f>"2017"</f>
        <v>2017</v>
      </c>
      <c r="I116" s="3" t="str">
        <f>""</f>
        <v/>
      </c>
    </row>
    <row r="117" spans="1:9" x14ac:dyDescent="0.3">
      <c r="A117" s="2">
        <v>116</v>
      </c>
      <c r="B117" s="4" t="s">
        <v>10</v>
      </c>
      <c r="C117" s="3" t="str">
        <f>"TFC000004019"</f>
        <v>TFC000004019</v>
      </c>
      <c r="D117" s="3" t="str">
        <f>"F800-21-0018-(AR 0.9)"</f>
        <v>F800-21-0018-(AR 0.9)</v>
      </c>
      <c r="E117" s="3" t="str">
        <f>"Can I Have a Dragon?"</f>
        <v>Can I Have a Dragon?</v>
      </c>
      <c r="F117" s="3" t="str">
        <f>"by Elizabeth Dale, illustrated by Ellie Oshea"</f>
        <v>by Elizabeth Dale, illustrated by Ellie Oshea</v>
      </c>
      <c r="G117" s="3" t="str">
        <f>"Lerner"</f>
        <v>Lerner</v>
      </c>
      <c r="H117" s="2" t="str">
        <f>"2021"</f>
        <v>2021</v>
      </c>
      <c r="I117" s="3" t="str">
        <f>""</f>
        <v/>
      </c>
    </row>
    <row r="118" spans="1:9" x14ac:dyDescent="0.3">
      <c r="A118" s="2">
        <v>117</v>
      </c>
      <c r="B118" s="4" t="s">
        <v>10</v>
      </c>
      <c r="C118" s="3" t="str">
        <f>"TFC000004018"</f>
        <v>TFC000004018</v>
      </c>
      <c r="D118" s="3" t="str">
        <f>"F800-21-0017-(AR 0.9)"</f>
        <v>F800-21-0017-(AR 0.9)</v>
      </c>
      <c r="E118" s="3" t="str">
        <f>"Jim and the Big Fish"</f>
        <v>Jim and the Big Fish</v>
      </c>
      <c r="F118" s="3" t="str">
        <f>"by Clare Helen Welsh, illustrated by Patricia Reagan"</f>
        <v>by Clare Helen Welsh, illustrated by Patricia Reagan</v>
      </c>
      <c r="G118" s="3" t="str">
        <f>"Lerner"</f>
        <v>Lerner</v>
      </c>
      <c r="H118" s="2" t="str">
        <f>"2021"</f>
        <v>2021</v>
      </c>
      <c r="I118" s="3" t="str">
        <f>""</f>
        <v/>
      </c>
    </row>
    <row r="119" spans="1:9" x14ac:dyDescent="0.3">
      <c r="A119" s="2">
        <v>118</v>
      </c>
      <c r="B119" s="4" t="s">
        <v>10</v>
      </c>
      <c r="C119" s="3" t="str">
        <f>"TFC000004017"</f>
        <v>TFC000004017</v>
      </c>
      <c r="D119" s="3" t="str">
        <f>"F800-21-0016-(AR 0.9)"</f>
        <v>F800-21-0016-(AR 0.9)</v>
      </c>
      <c r="E119" s="3" t="str">
        <f>"Too much noise!"</f>
        <v>Too much noise!</v>
      </c>
      <c r="F119" s="3" t="str">
        <f>"by Cath Jones, illustrated by Leesh Li"</f>
        <v>by Cath Jones, illustrated by Leesh Li</v>
      </c>
      <c r="G119" s="3" t="str">
        <f>"Lerner Publications"</f>
        <v>Lerner Publications</v>
      </c>
      <c r="H119" s="2" t="str">
        <f>"2021"</f>
        <v>2021</v>
      </c>
      <c r="I119" s="3" t="str">
        <f>""</f>
        <v/>
      </c>
    </row>
    <row r="120" spans="1:9" x14ac:dyDescent="0.3">
      <c r="A120" s="2">
        <v>119</v>
      </c>
      <c r="B120" s="4" t="s">
        <v>10</v>
      </c>
      <c r="C120" s="3" t="str">
        <f>"TFC000004020"</f>
        <v>TFC000004020</v>
      </c>
      <c r="D120" s="3" t="str">
        <f>"F800-21-0019-(AR 0.9)"</f>
        <v>F800-21-0019-(AR 0.9)</v>
      </c>
      <c r="E120" s="3" t="str">
        <f>"Buzz Off, Bee!"</f>
        <v>Buzz Off, Bee!</v>
      </c>
      <c r="F120" s="3" t="str">
        <f>"by Jenny Jinks, illustrated by Giusi Capizzi"</f>
        <v>by Jenny Jinks, illustrated by Giusi Capizzi</v>
      </c>
      <c r="G120" s="3" t="str">
        <f>"Lerner"</f>
        <v>Lerner</v>
      </c>
      <c r="H120" s="2" t="str">
        <f>"2021"</f>
        <v>2021</v>
      </c>
      <c r="I120" s="3" t="str">
        <f>""</f>
        <v/>
      </c>
    </row>
    <row r="121" spans="1:9" x14ac:dyDescent="0.3">
      <c r="A121" s="2">
        <v>120</v>
      </c>
      <c r="B121" s="4" t="s">
        <v>10</v>
      </c>
      <c r="C121" s="3" t="str">
        <f>"TFC000004021"</f>
        <v>TFC000004021</v>
      </c>
      <c r="D121" s="3" t="str">
        <f>"F800-21-0020-(AR 0.9)"</f>
        <v>F800-21-0020-(AR 0.9)</v>
      </c>
      <c r="E121" s="3" t="str">
        <f>"Bad Robot!"</f>
        <v>Bad Robot!</v>
      </c>
      <c r="F121" s="3" t="str">
        <f>"by Elizabeth Dale, illustrated by Felicia Whaley"</f>
        <v>by Elizabeth Dale, illustrated by Felicia Whaley</v>
      </c>
      <c r="G121" s="3" t="str">
        <f>"Lerner"</f>
        <v>Lerner</v>
      </c>
      <c r="H121" s="2" t="str">
        <f>"2021"</f>
        <v>2021</v>
      </c>
      <c r="I121" s="3" t="str">
        <f>""</f>
        <v/>
      </c>
    </row>
    <row r="122" spans="1:9" x14ac:dyDescent="0.3">
      <c r="A122" s="2">
        <v>121</v>
      </c>
      <c r="B122" s="4" t="s">
        <v>10</v>
      </c>
      <c r="C122" s="3" t="str">
        <f>"TFC000000125"</f>
        <v>TFC000000125</v>
      </c>
      <c r="D122" s="3" t="str">
        <f>"F800-20-0131-(AR 0.9)"</f>
        <v>F800-20-0131-(AR 0.9)</v>
      </c>
      <c r="E122" s="3" t="str">
        <f>"Don't let the pigeon drive the bus!"</f>
        <v>Don't let the pigeon drive the bus!</v>
      </c>
      <c r="F122" s="3" t="str">
        <f>"word and pictures by Mo Willems"</f>
        <v>word and pictures by Mo Willems</v>
      </c>
      <c r="G122" s="3" t="str">
        <f>"Hyperion"</f>
        <v>Hyperion</v>
      </c>
      <c r="H122" s="2" t="str">
        <f>"2004"</f>
        <v>2004</v>
      </c>
      <c r="I122" s="3" t="str">
        <f>""</f>
        <v/>
      </c>
    </row>
    <row r="123" spans="1:9" x14ac:dyDescent="0.3">
      <c r="A123" s="2">
        <v>122</v>
      </c>
      <c r="B123" s="4" t="s">
        <v>10</v>
      </c>
      <c r="C123" s="3" t="str">
        <f>"TFC000000124"</f>
        <v>TFC000000124</v>
      </c>
      <c r="D123" s="3" t="str">
        <f>"F800-20-0130-(AR 0.9)"</f>
        <v>F800-20-0130-(AR 0.9)</v>
      </c>
      <c r="E123" s="3" t="str">
        <f>"We are in a book!"</f>
        <v>We are in a book!</v>
      </c>
      <c r="F123" s="3" t="str">
        <f>"by Mo Willems"</f>
        <v>by Mo Willems</v>
      </c>
      <c r="G123" s="3" t="str">
        <f>"Hyperion Books for Children"</f>
        <v>Hyperion Books for Children</v>
      </c>
      <c r="H123" s="2" t="str">
        <f>"2010"</f>
        <v>2010</v>
      </c>
      <c r="I123" s="3" t="str">
        <f>""</f>
        <v/>
      </c>
    </row>
    <row r="124" spans="1:9" x14ac:dyDescent="0.3">
      <c r="A124" s="2">
        <v>123</v>
      </c>
      <c r="B124" s="4" t="s">
        <v>10</v>
      </c>
      <c r="C124" s="3" t="str">
        <f>"TFC000000123"</f>
        <v>TFC000000123</v>
      </c>
      <c r="D124" s="3" t="str">
        <f>"F800-20-0129-(AR 0.9)"</f>
        <v>F800-20-0129-(AR 0.9)</v>
      </c>
      <c r="E124" s="3" t="str">
        <f>"Waiting is not easy!"</f>
        <v>Waiting is not easy!</v>
      </c>
      <c r="F124" s="3" t="str">
        <f>"by Mo Willems"</f>
        <v>by Mo Willems</v>
      </c>
      <c r="G124" s="3" t="str">
        <f>"Hyperion Books for Children"</f>
        <v>Hyperion Books for Children</v>
      </c>
      <c r="H124" s="2" t="str">
        <f>"2014"</f>
        <v>2014</v>
      </c>
      <c r="I124" s="3" t="str">
        <f>""</f>
        <v/>
      </c>
    </row>
    <row r="125" spans="1:9" x14ac:dyDescent="0.3">
      <c r="A125" s="2">
        <v>124</v>
      </c>
      <c r="B125" s="4" t="s">
        <v>10</v>
      </c>
      <c r="C125" s="3" t="str">
        <f>"TFC000000122"</f>
        <v>TFC000000122</v>
      </c>
      <c r="D125" s="3" t="str">
        <f>"F800-20-0128-(AR 0.9)"</f>
        <v>F800-20-0128-(AR 0.9)</v>
      </c>
      <c r="E125" s="3" t="str">
        <f>"Elephants cannot dance!"</f>
        <v>Elephants cannot dance!</v>
      </c>
      <c r="F125" s="3" t="str">
        <f>"by Mo Willems"</f>
        <v>by Mo Willems</v>
      </c>
      <c r="G125" s="3" t="str">
        <f>"Hyperion Books for Children"</f>
        <v>Hyperion Books for Children</v>
      </c>
      <c r="H125" s="2" t="str">
        <f>"2009"</f>
        <v>2009</v>
      </c>
      <c r="I125" s="3" t="str">
        <f>""</f>
        <v/>
      </c>
    </row>
    <row r="126" spans="1:9" x14ac:dyDescent="0.3">
      <c r="A126" s="2">
        <v>125</v>
      </c>
      <c r="B126" s="4" t="s">
        <v>10</v>
      </c>
      <c r="C126" s="3" t="str">
        <f>"TFC000000121"</f>
        <v>TFC000000121</v>
      </c>
      <c r="D126" s="3" t="str">
        <f>"F800-20-0127-(AR 0.9)"</f>
        <v>F800-20-0127-(AR 0.9)</v>
      </c>
      <c r="E126" s="3" t="str">
        <f>"David goes to school"</f>
        <v>David goes to school</v>
      </c>
      <c r="F126" s="3" t="str">
        <f>"by David Shannon"</f>
        <v>by David Shannon</v>
      </c>
      <c r="G126" s="3" t="str">
        <f>"Scholastic"</f>
        <v>Scholastic</v>
      </c>
      <c r="H126" s="2" t="str">
        <f>"2001"</f>
        <v>2001</v>
      </c>
      <c r="I126" s="3" t="str">
        <f>""</f>
        <v/>
      </c>
    </row>
    <row r="127" spans="1:9" x14ac:dyDescent="0.3">
      <c r="A127" s="2">
        <v>126</v>
      </c>
      <c r="B127" s="4" t="s">
        <v>10</v>
      </c>
      <c r="C127" s="3" t="str">
        <f>"TFC000000120"</f>
        <v>TFC000000120</v>
      </c>
      <c r="D127" s="3" t="str">
        <f>"F800-20-0126-(AR 0.9)"</f>
        <v>F800-20-0126-(AR 0.9)</v>
      </c>
      <c r="E127" s="3" t="str">
        <f>"Loose tooth"</f>
        <v>Loose tooth</v>
      </c>
      <c r="F127" s="3" t="str">
        <f>"by Lola M. Schaefer ; pictures by Sylvie Wickstrom"</f>
        <v>by Lola M. Schaefer ; pictures by Sylvie Wickstrom</v>
      </c>
      <c r="G127" s="3" t="str">
        <f>"HarperCollins Publishers"</f>
        <v>HarperCollins Publishers</v>
      </c>
      <c r="H127" s="2" t="str">
        <f>"2006"</f>
        <v>2006</v>
      </c>
      <c r="I127" s="3" t="str">
        <f>""</f>
        <v/>
      </c>
    </row>
    <row r="128" spans="1:9" x14ac:dyDescent="0.3">
      <c r="A128" s="2">
        <v>127</v>
      </c>
      <c r="B128" s="4" t="s">
        <v>10</v>
      </c>
      <c r="C128" s="3" t="str">
        <f>"TFC000000118"</f>
        <v>TFC000000118</v>
      </c>
      <c r="D128" s="3" t="str">
        <f>"F800-20-0124-(AR 0.9)"</f>
        <v>F800-20-0124-(AR 0.9)</v>
      </c>
      <c r="E128" s="3" t="str">
        <f>"Swing, Otto, swing!"</f>
        <v>Swing, Otto, swing!</v>
      </c>
      <c r="F128" s="3" t="str">
        <f>"story and pictures by David Milgrim"</f>
        <v>story and pictures by David Milgrim</v>
      </c>
      <c r="G128" s="3" t="str">
        <f>"Simon Spotlight,"</f>
        <v>Simon Spotlight,</v>
      </c>
      <c r="H128" s="2" t="str">
        <f>"2016"</f>
        <v>2016</v>
      </c>
      <c r="I128" s="3" t="str">
        <f>""</f>
        <v/>
      </c>
    </row>
    <row r="129" spans="1:9" x14ac:dyDescent="0.3">
      <c r="A129" s="2">
        <v>128</v>
      </c>
      <c r="B129" s="4" t="s">
        <v>10</v>
      </c>
      <c r="C129" s="3" t="str">
        <f>"TFC000000116"</f>
        <v>TFC000000116</v>
      </c>
      <c r="D129" s="3" t="str">
        <f>"F800-20-0122-(AR 0.9)"</f>
        <v>F800-20-0122-(AR 0.9)</v>
      </c>
      <c r="E129" s="3" t="str">
        <f>"Night animals"</f>
        <v>Night animals</v>
      </c>
      <c r="F129" s="3" t="str">
        <f>"Gianna Marino"</f>
        <v>Gianna Marino</v>
      </c>
      <c r="G129" s="3" t="str">
        <f>"Viking"</f>
        <v>Viking</v>
      </c>
      <c r="H129" s="2" t="str">
        <f>"2015"</f>
        <v>2015</v>
      </c>
      <c r="I129" s="3" t="str">
        <f>""</f>
        <v/>
      </c>
    </row>
    <row r="130" spans="1:9" x14ac:dyDescent="0.3">
      <c r="A130" s="2">
        <v>129</v>
      </c>
      <c r="B130" s="4" t="s">
        <v>10</v>
      </c>
      <c r="C130" s="3" t="str">
        <f>"TFC000000115"</f>
        <v>TFC000000115</v>
      </c>
      <c r="D130" s="3" t="str">
        <f>"F800-20-0121-(AR 0.9)"</f>
        <v>F800-20-0121-(AR 0.9)</v>
      </c>
      <c r="E130" s="3" t="str">
        <f>"Monster math picnic"</f>
        <v>Monster math picnic</v>
      </c>
      <c r="F130" s="3" t="str">
        <f>"by Grace Maccarone ; illustrated by Marte Hartelius"</f>
        <v>by Grace Maccarone ; illustrated by Marte Hartelius</v>
      </c>
      <c r="G130" s="3" t="str">
        <f>"Scholastic"</f>
        <v>Scholastic</v>
      </c>
      <c r="H130" s="2" t="str">
        <f>"2008"</f>
        <v>2008</v>
      </c>
      <c r="I130" s="3" t="str">
        <f>""</f>
        <v/>
      </c>
    </row>
    <row r="131" spans="1:9" x14ac:dyDescent="0.3">
      <c r="A131" s="2">
        <v>130</v>
      </c>
      <c r="B131" s="4" t="s">
        <v>10</v>
      </c>
      <c r="C131" s="3" t="str">
        <f>"TFC000000112"</f>
        <v>TFC000000112</v>
      </c>
      <c r="D131" s="3" t="str">
        <f>"F800-20-0118-(AR 0.9)"</f>
        <v>F800-20-0118-(AR 0.9)</v>
      </c>
      <c r="E131" s="3" t="str">
        <f>"(The)new house"</f>
        <v>(The)new house</v>
      </c>
      <c r="F131" s="3" t="str">
        <f>"written by Roderick Hunt ; illustrated by Alex Brychta"</f>
        <v>written by Roderick Hunt ; illustrated by Alex Brychta</v>
      </c>
      <c r="G131" s="3" t="str">
        <f>"Oxford University Press"</f>
        <v>Oxford University Press</v>
      </c>
      <c r="H131" s="2" t="str">
        <f>"2011"</f>
        <v>2011</v>
      </c>
      <c r="I131" s="3" t="str">
        <f>""</f>
        <v/>
      </c>
    </row>
    <row r="132" spans="1:9" x14ac:dyDescent="0.3">
      <c r="A132" s="2">
        <v>131</v>
      </c>
      <c r="B132" s="4" t="s">
        <v>10</v>
      </c>
      <c r="C132" s="3" t="str">
        <f>"TFC000000111"</f>
        <v>TFC000000111</v>
      </c>
      <c r="D132" s="3" t="str">
        <f>"F800-20-0117-(AR 0.9)"</f>
        <v>F800-20-0117-(AR 0.9)</v>
      </c>
      <c r="E132" s="3" t="str">
        <f>"(The)jumble sale"</f>
        <v>(The)jumble sale</v>
      </c>
      <c r="F132" s="3" t="str">
        <f>"written by Roderick Hunt ; illustrated by Alex Brychta"</f>
        <v>written by Roderick Hunt ; illustrated by Alex Brychta</v>
      </c>
      <c r="G132" s="3" t="str">
        <f>"Oxford University Press"</f>
        <v>Oxford University Press</v>
      </c>
      <c r="H132" s="2" t="str">
        <f>"2011"</f>
        <v>2011</v>
      </c>
      <c r="I132" s="3" t="str">
        <f>""</f>
        <v/>
      </c>
    </row>
    <row r="133" spans="1:9" x14ac:dyDescent="0.3">
      <c r="A133" s="2">
        <v>132</v>
      </c>
      <c r="B133" s="4" t="s">
        <v>10</v>
      </c>
      <c r="C133" s="3" t="str">
        <f>"TFC000000110"</f>
        <v>TFC000000110</v>
      </c>
      <c r="D133" s="3" t="str">
        <f>"F800-20-0116-(AR 0.9)"</f>
        <v>F800-20-0116-(AR 0.9)</v>
      </c>
      <c r="E133" s="3" t="str">
        <f>"(The)flying elephant"</f>
        <v>(The)flying elephant</v>
      </c>
      <c r="F133" s="3" t="str">
        <f>"written by Roderick Hunt ; illustrated by Alex Brychta"</f>
        <v>written by Roderick Hunt ; illustrated by Alex Brychta</v>
      </c>
      <c r="G133" s="3" t="str">
        <f>"Oxford University Press"</f>
        <v>Oxford University Press</v>
      </c>
      <c r="H133" s="2" t="str">
        <f>"2011"</f>
        <v>2011</v>
      </c>
      <c r="I133" s="3" t="str">
        <f>""</f>
        <v/>
      </c>
    </row>
    <row r="134" spans="1:9" x14ac:dyDescent="0.3">
      <c r="A134" s="2">
        <v>133</v>
      </c>
      <c r="B134" s="4" t="s">
        <v>10</v>
      </c>
      <c r="C134" s="3" t="str">
        <f>"TFC000000109"</f>
        <v>TFC000000109</v>
      </c>
      <c r="D134" s="3" t="str">
        <f>"F800-20-0115-(AR 0.9)"</f>
        <v>F800-20-0115-(AR 0.9)</v>
      </c>
      <c r="E134" s="3" t="str">
        <f>"(The)duck race"</f>
        <v>(The)duck race</v>
      </c>
      <c r="F134" s="3" t="str">
        <f>"written by Roderick Hunt ; illustrated by Alex Brychta"</f>
        <v>written by Roderick Hunt ; illustrated by Alex Brychta</v>
      </c>
      <c r="G134" s="3" t="str">
        <f>"Oxford University Press"</f>
        <v>Oxford University Press</v>
      </c>
      <c r="H134" s="2" t="str">
        <f>"2011"</f>
        <v>2011</v>
      </c>
      <c r="I134" s="3" t="str">
        <f>""</f>
        <v/>
      </c>
    </row>
    <row r="135" spans="1:9" x14ac:dyDescent="0.3">
      <c r="A135" s="2">
        <v>134</v>
      </c>
      <c r="B135" s="4" t="s">
        <v>10</v>
      </c>
      <c r="C135" s="3" t="str">
        <f>"TFC000000108"</f>
        <v>TFC000000108</v>
      </c>
      <c r="D135" s="3" t="str">
        <f>"F800-20-0114-(AR 0.9)"</f>
        <v>F800-20-0114-(AR 0.9)</v>
      </c>
      <c r="E135" s="3" t="str">
        <f>"At the seaside"</f>
        <v>At the seaside</v>
      </c>
      <c r="F135" s="3" t="str">
        <f>"written by Roderick Hunt ; illustrated by Alex Brychta"</f>
        <v>written by Roderick Hunt ; illustrated by Alex Brychta</v>
      </c>
      <c r="G135" s="3" t="str">
        <f>"Oxford University Press"</f>
        <v>Oxford University Press</v>
      </c>
      <c r="H135" s="2" t="str">
        <f>"2011"</f>
        <v>2011</v>
      </c>
      <c r="I135" s="3" t="str">
        <f>""</f>
        <v/>
      </c>
    </row>
    <row r="136" spans="1:9" x14ac:dyDescent="0.3">
      <c r="A136" s="2">
        <v>135</v>
      </c>
      <c r="B136" s="4" t="s">
        <v>10</v>
      </c>
      <c r="C136" s="3" t="str">
        <f>"TFC000000107"</f>
        <v>TFC000000107</v>
      </c>
      <c r="D136" s="3" t="str">
        <f>"F800-20-0113-(AR 0.9)"</f>
        <v>F800-20-0113-(AR 0.9)</v>
      </c>
      <c r="E136" s="3" t="str">
        <f>"At the pool"</f>
        <v>At the pool</v>
      </c>
      <c r="F136" s="3" t="str">
        <f>"written by Roderick Hunt ; illustrated by Alex Brychta"</f>
        <v>written by Roderick Hunt ; illustrated by Alex Brychta</v>
      </c>
      <c r="G136" s="3" t="str">
        <f>"Oxford University Press"</f>
        <v>Oxford University Press</v>
      </c>
      <c r="H136" s="2" t="str">
        <f>"2011"</f>
        <v>2011</v>
      </c>
      <c r="I136" s="3" t="str">
        <f>""</f>
        <v/>
      </c>
    </row>
    <row r="137" spans="1:9" x14ac:dyDescent="0.3">
      <c r="A137" s="2">
        <v>136</v>
      </c>
      <c r="B137" s="4" t="s">
        <v>10</v>
      </c>
      <c r="C137" s="3" t="str">
        <f>"TFC000000106"</f>
        <v>TFC000000106</v>
      </c>
      <c r="D137" s="3" t="str">
        <f>"F800-20-0112-(AR 0.9)"</f>
        <v>F800-20-0112-(AR 0.9)</v>
      </c>
      <c r="E137" s="3" t="str">
        <f>"Big heart! : a Valentine's day story"</f>
        <v>Big heart! : a Valentine's day story</v>
      </c>
      <c r="F137" s="3" t="str">
        <f>"by Joan Holub ; illustrated by Will Terry"</f>
        <v>by Joan Holub ; illustrated by Will Terry</v>
      </c>
      <c r="G137" s="3" t="str">
        <f>"Aladdin"</f>
        <v>Aladdin</v>
      </c>
      <c r="H137" s="2" t="str">
        <f>"2007"</f>
        <v>2007</v>
      </c>
      <c r="I137" s="3" t="str">
        <f>""</f>
        <v/>
      </c>
    </row>
    <row r="138" spans="1:9" x14ac:dyDescent="0.3">
      <c r="A138" s="2">
        <v>137</v>
      </c>
      <c r="B138" s="4" t="s">
        <v>10</v>
      </c>
      <c r="C138" s="3" t="str">
        <f>"TFC000000105"</f>
        <v>TFC000000105</v>
      </c>
      <c r="D138" s="3" t="str">
        <f>"F800-20-0111-(AR 0.9)"</f>
        <v>F800-20-0111-(AR 0.9)</v>
      </c>
      <c r="E138" s="3" t="str">
        <f>"Teddy bear for sale"</f>
        <v>Teddy bear for sale</v>
      </c>
      <c r="F138" s="3" t="str">
        <f>"by Gail Herman ; illustrated by Doug Cushman"</f>
        <v>by Gail Herman ; illustrated by Doug Cushman</v>
      </c>
      <c r="G138" s="3" t="str">
        <f>"Scholastic"</f>
        <v>Scholastic</v>
      </c>
      <c r="H138" s="2" t="str">
        <f>"2003"</f>
        <v>2003</v>
      </c>
      <c r="I138" s="3" t="str">
        <f>""</f>
        <v/>
      </c>
    </row>
    <row r="139" spans="1:9" x14ac:dyDescent="0.3">
      <c r="A139" s="2">
        <v>138</v>
      </c>
      <c r="B139" s="4" t="s">
        <v>10</v>
      </c>
      <c r="C139" s="3" t="str">
        <f>"TFC000000097"</f>
        <v>TFC000000097</v>
      </c>
      <c r="D139" s="3" t="str">
        <f>"F800-20-0103-(AR 0.9)"</f>
        <v>F800-20-0103-(AR 0.9)</v>
      </c>
      <c r="E139" s="3" t="str">
        <f>"My car"</f>
        <v>My car</v>
      </c>
      <c r="F139" s="3" t="str">
        <f>"by Byron Barton"</f>
        <v>by Byron Barton</v>
      </c>
      <c r="G139" s="3" t="str">
        <f>"Greenwillow Books"</f>
        <v>Greenwillow Books</v>
      </c>
      <c r="H139" s="2" t="str">
        <f>"2001"</f>
        <v>2001</v>
      </c>
      <c r="I139" s="3" t="str">
        <f>""</f>
        <v/>
      </c>
    </row>
    <row r="140" spans="1:9" x14ac:dyDescent="0.3">
      <c r="A140" s="2">
        <v>139</v>
      </c>
      <c r="B140" s="4" t="s">
        <v>10</v>
      </c>
      <c r="C140" s="3" t="str">
        <f>"TFC000000093"</f>
        <v>TFC000000093</v>
      </c>
      <c r="D140" s="3" t="str">
        <f>"F800-20-0099-(AR 0.9)"</f>
        <v>F800-20-0099-(AR 0.9)</v>
      </c>
      <c r="E140" s="3" t="str">
        <f>"Firehouse Sal"</f>
        <v>Firehouse Sal</v>
      </c>
      <c r="F140" s="3" t="str">
        <f>"by Larry Dane Brimner ; illustrations by Ethel Gold"</f>
        <v>by Larry Dane Brimner ; illustrations by Ethel Gold</v>
      </c>
      <c r="G140" s="3" t="str">
        <f>" Children's Press"</f>
        <v xml:space="preserve"> Children's Press</v>
      </c>
      <c r="H140" s="2" t="str">
        <f>"1996"</f>
        <v>1996</v>
      </c>
      <c r="I140" s="3" t="str">
        <f>""</f>
        <v/>
      </c>
    </row>
    <row r="141" spans="1:9" x14ac:dyDescent="0.3">
      <c r="A141" s="2">
        <v>140</v>
      </c>
      <c r="B141" s="4" t="s">
        <v>10</v>
      </c>
      <c r="C141" s="3" t="str">
        <f>"TFC000004412"</f>
        <v>TFC000004412</v>
      </c>
      <c r="D141" s="3" t="str">
        <f>"F800-22-0221-(AR0.9)"</f>
        <v>F800-22-0221-(AR0.9)</v>
      </c>
      <c r="E141" s="3" t="str">
        <f>"Cat Dog"</f>
        <v>Cat Dog</v>
      </c>
      <c r="F141" s="3" t="str">
        <f>"by Mem Fox, illustrated by Mark Teague"</f>
        <v>by Mem Fox, illustrated by Mark Teague</v>
      </c>
      <c r="G141" s="3" t="str">
        <f>"Beach Lane Books"</f>
        <v>Beach Lane Books</v>
      </c>
      <c r="H141" s="2" t="str">
        <f>"2021"</f>
        <v>2021</v>
      </c>
      <c r="I141" s="3" t="str">
        <f>""</f>
        <v/>
      </c>
    </row>
    <row r="142" spans="1:9" x14ac:dyDescent="0.3">
      <c r="A142" s="2">
        <v>141</v>
      </c>
      <c r="B142" s="4" t="s">
        <v>10</v>
      </c>
      <c r="C142" s="3" t="str">
        <f>"TFC000004413"</f>
        <v>TFC000004413</v>
      </c>
      <c r="D142" s="3" t="str">
        <f>"F800-22-0222-(AR0.9)"</f>
        <v>F800-22-0222-(AR0.9)</v>
      </c>
      <c r="E142" s="3" t="str">
        <f>"Sad, Sad Bear"</f>
        <v>Sad, Sad Bear</v>
      </c>
      <c r="F142" s="3" t="str">
        <f>"by Kimberly Gee"</f>
        <v>by Kimberly Gee</v>
      </c>
      <c r="G142" s="3" t="str">
        <f>"Beach Lane Books"</f>
        <v>Beach Lane Books</v>
      </c>
      <c r="H142" s="2" t="str">
        <f>"2021"</f>
        <v>2021</v>
      </c>
      <c r="I142" s="3" t="str">
        <f>""</f>
        <v/>
      </c>
    </row>
    <row r="143" spans="1:9" x14ac:dyDescent="0.3">
      <c r="A143" s="2">
        <v>142</v>
      </c>
      <c r="B143" s="4" t="s">
        <v>10</v>
      </c>
      <c r="C143" s="3" t="str">
        <f>"TFC000003132"</f>
        <v>TFC000003132</v>
      </c>
      <c r="D143" s="3" t="str">
        <f>"F800-20-0133-10(AR 0.9)"</f>
        <v>F800-20-0133-10(AR 0.9)</v>
      </c>
      <c r="E143" s="3" t="str">
        <f>"Biscuit goes to school"</f>
        <v>Biscuit goes to school</v>
      </c>
      <c r="F143" s="3" t="str">
        <f>"story by Alyssa Satin Capucilli ; pictures by Pat Schories"</f>
        <v>story by Alyssa Satin Capucilli ; pictures by Pat Schories</v>
      </c>
      <c r="G143" s="3" t="str">
        <f>"HarperTrophy"</f>
        <v>HarperTrophy</v>
      </c>
      <c r="H143" s="2" t="str">
        <f>"2001"</f>
        <v>2001</v>
      </c>
      <c r="I143" s="3" t="str">
        <f>""</f>
        <v/>
      </c>
    </row>
    <row r="144" spans="1:9" x14ac:dyDescent="0.3">
      <c r="A144" s="2">
        <v>143</v>
      </c>
      <c r="B144" s="4" t="s">
        <v>10</v>
      </c>
      <c r="C144" s="3" t="str">
        <f>"TFC000003133"</f>
        <v>TFC000003133</v>
      </c>
      <c r="D144" s="3" t="str">
        <f>"F800-20-0134-11(AR 0.9)"</f>
        <v>F800-20-0134-11(AR 0.9)</v>
      </c>
      <c r="E144" s="3" t="str">
        <f>"Biscuit in the garden"</f>
        <v>Biscuit in the garden</v>
      </c>
      <c r="F144" s="3" t="str">
        <f>"story by Alyssa Satin Capucilli ; pictures by Pat Schories"</f>
        <v>story by Alyssa Satin Capucilli ; pictures by Pat Schories</v>
      </c>
      <c r="G144" s="3" t="str">
        <f>"Harper"</f>
        <v>Harper</v>
      </c>
      <c r="H144" s="2" t="str">
        <f>"2013"</f>
        <v>2013</v>
      </c>
      <c r="I144" s="3" t="str">
        <f>""</f>
        <v/>
      </c>
    </row>
    <row r="145" spans="1:9" x14ac:dyDescent="0.3">
      <c r="A145" s="2">
        <v>144</v>
      </c>
      <c r="B145" s="4">
        <v>0.9</v>
      </c>
      <c r="C145" s="3" t="str">
        <f>"TFC000000098"</f>
        <v>TFC000000098</v>
      </c>
      <c r="D145" s="3" t="str">
        <f>"F800-20-0104-3(AR 0.9)"</f>
        <v>F800-20-0104-3(AR 0.9)</v>
      </c>
      <c r="E145" s="3" t="str">
        <f>"Biscuit and the baby."</f>
        <v>Biscuit and the baby.</v>
      </c>
      <c r="F145" s="3" t="str">
        <f>"by Alyssa Satin Capucilli ; pictures by Pat Schories"</f>
        <v>by Alyssa Satin Capucilli ; pictures by Pat Schories</v>
      </c>
      <c r="G145" s="3" t="str">
        <f>"HarperTrophy"</f>
        <v>HarperTrophy</v>
      </c>
      <c r="H145" s="2" t="str">
        <f>"2005"</f>
        <v>2005</v>
      </c>
      <c r="I145" s="3" t="str">
        <f>""</f>
        <v/>
      </c>
    </row>
    <row r="146" spans="1:9" x14ac:dyDescent="0.3">
      <c r="A146" s="2">
        <v>145</v>
      </c>
      <c r="B146" s="4">
        <v>0.9</v>
      </c>
      <c r="C146" s="3" t="str">
        <f>"TFC000000099"</f>
        <v>TFC000000099</v>
      </c>
      <c r="D146" s="3" t="str">
        <f>"F800-20-0105-4(AR 0.9)"</f>
        <v>F800-20-0105-4(AR 0.9)</v>
      </c>
      <c r="E146" s="3" t="str">
        <f>"Biscuit goes to school"</f>
        <v>Biscuit goes to school</v>
      </c>
      <c r="F146" s="3" t="str">
        <f>"story by Alyssa Satin Capucilli ; pictures by Pat Schories"</f>
        <v>story by Alyssa Satin Capucilli ; pictures by Pat Schories</v>
      </c>
      <c r="G146" s="3" t="str">
        <f>"HarperTrophy"</f>
        <v>HarperTrophy</v>
      </c>
      <c r="H146" s="2" t="str">
        <f>"2001"</f>
        <v>2001</v>
      </c>
      <c r="I146" s="2" t="s">
        <v>2</v>
      </c>
    </row>
    <row r="147" spans="1:9" x14ac:dyDescent="0.3">
      <c r="A147" s="2">
        <v>146</v>
      </c>
      <c r="B147" s="4">
        <v>0.9</v>
      </c>
      <c r="C147" s="3" t="str">
        <f>"TFC000000100"</f>
        <v>TFC000000100</v>
      </c>
      <c r="D147" s="3" t="str">
        <f>"F800-20-0106-5(AR 0.9)"</f>
        <v>F800-20-0106-5(AR 0.9)</v>
      </c>
      <c r="E147" s="3" t="str">
        <f>"Biscuit in the garden"</f>
        <v>Biscuit in the garden</v>
      </c>
      <c r="F147" s="3" t="str">
        <f>"story by Alyssa Satin Capucilli ; pictures by Pat Schories"</f>
        <v>story by Alyssa Satin Capucilli ; pictures by Pat Schories</v>
      </c>
      <c r="G147" s="3" t="str">
        <f>"Harper"</f>
        <v>Harper</v>
      </c>
      <c r="H147" s="2" t="str">
        <f>"2013"</f>
        <v>2013</v>
      </c>
      <c r="I147" s="3" t="str">
        <f>""</f>
        <v/>
      </c>
    </row>
    <row r="148" spans="1:9" x14ac:dyDescent="0.3">
      <c r="A148" s="2">
        <v>147</v>
      </c>
      <c r="B148" s="4">
        <v>0.9</v>
      </c>
      <c r="C148" s="3" t="str">
        <f>"TFC000000101"</f>
        <v>TFC000000101</v>
      </c>
      <c r="D148" s="3" t="str">
        <f>"F800-20-0107-6(AR 0.9)"</f>
        <v>F800-20-0107-6(AR 0.9)</v>
      </c>
      <c r="E148" s="3" t="str">
        <f>"Biscuit plays ball"</f>
        <v>Biscuit plays ball</v>
      </c>
      <c r="F148" s="3" t="str">
        <f>"story by Alyssa Satin Capucilli ; pictures by Pat Schories"</f>
        <v>story by Alyssa Satin Capucilli ; pictures by Pat Schories</v>
      </c>
      <c r="G148" s="3" t="str">
        <f>"Harper"</f>
        <v>Harper</v>
      </c>
      <c r="H148" s="2" t="str">
        <f>"2012"</f>
        <v>2012</v>
      </c>
      <c r="I148" s="3" t="str">
        <f>""</f>
        <v/>
      </c>
    </row>
    <row r="149" spans="1:9" x14ac:dyDescent="0.3">
      <c r="A149" s="2">
        <v>148</v>
      </c>
      <c r="B149" s="4">
        <v>0.9</v>
      </c>
      <c r="C149" s="3" t="str">
        <f>"TFC000000102"</f>
        <v>TFC000000102</v>
      </c>
      <c r="D149" s="3" t="str">
        <f>"F800-20-0108-7(AR 0.9)"</f>
        <v>F800-20-0108-7(AR 0.9)</v>
      </c>
      <c r="E149" s="3" t="str">
        <f>"Biscuit takes a walk"</f>
        <v>Biscuit takes a walk</v>
      </c>
      <c r="F149" s="3" t="str">
        <f>"story by Alyssa Satin Capucilli ; pictures by Pat Schories"</f>
        <v>story by Alyssa Satin Capucilli ; pictures by Pat Schories</v>
      </c>
      <c r="G149" s="3" t="str">
        <f>"Harper"</f>
        <v>Harper</v>
      </c>
      <c r="H149" s="2" t="str">
        <f>"2009"</f>
        <v>2009</v>
      </c>
      <c r="I149" s="3" t="str">
        <f>""</f>
        <v/>
      </c>
    </row>
    <row r="150" spans="1:9" x14ac:dyDescent="0.3">
      <c r="A150" s="2">
        <v>149</v>
      </c>
      <c r="B150" s="4">
        <v>0.9</v>
      </c>
      <c r="C150" s="3" t="str">
        <f>"TFC000000103"</f>
        <v>TFC000000103</v>
      </c>
      <c r="D150" s="3" t="str">
        <f>"F800-20-0109-8(AR 0.9)"</f>
        <v>F800-20-0109-8(AR 0.9)</v>
      </c>
      <c r="E150" s="3" t="str">
        <f>"Biscuit wants to play"</f>
        <v>Biscuit wants to play</v>
      </c>
      <c r="F150" s="3" t="str">
        <f>"story by Alyssa Satin Capucilli ; pictures by Pat Schories"</f>
        <v>story by Alyssa Satin Capucilli ; pictures by Pat Schories</v>
      </c>
      <c r="G150" s="3" t="str">
        <f>"HarperTrophy"</f>
        <v>HarperTrophy</v>
      </c>
      <c r="H150" s="2" t="str">
        <f>"2001"</f>
        <v>2001</v>
      </c>
      <c r="I150" s="3" t="str">
        <f>""</f>
        <v/>
      </c>
    </row>
    <row r="151" spans="1:9" x14ac:dyDescent="0.3">
      <c r="A151" s="2">
        <v>150</v>
      </c>
      <c r="B151" s="4" t="s">
        <v>10</v>
      </c>
      <c r="C151" s="3" t="str">
        <f>"TFC000000104"</f>
        <v>TFC000000104</v>
      </c>
      <c r="D151" s="3" t="str">
        <f>"F800-20-0110-9(AR 0.9)"</f>
        <v>F800-20-0110-9(AR 0.9)</v>
      </c>
      <c r="E151" s="3" t="str">
        <f>"Biscuit wins a prize"</f>
        <v>Biscuit wins a prize</v>
      </c>
      <c r="F151" s="3" t="str">
        <f>"story by Alyssa Satin Capucilli ; pictures by Pat Schories"</f>
        <v>story by Alyssa Satin Capucilli ; pictures by Pat Schories</v>
      </c>
      <c r="G151" s="3" t="str">
        <f>"HarperCollins Publishers"</f>
        <v>HarperCollins Publishers</v>
      </c>
      <c r="H151" s="2" t="str">
        <f>"2004"</f>
        <v>2004</v>
      </c>
      <c r="I151" s="3" t="str">
        <f>""</f>
        <v/>
      </c>
    </row>
    <row r="152" spans="1:9" x14ac:dyDescent="0.3">
      <c r="A152" s="2">
        <v>151</v>
      </c>
      <c r="B152" s="4" t="s">
        <v>11</v>
      </c>
      <c r="C152" s="3" t="str">
        <f>"TFC000003437"</f>
        <v>TFC000003437</v>
      </c>
      <c r="D152" s="3" t="str">
        <f>"F800-21-0022-(AR 1.0)"</f>
        <v>F800-21-0022-(AR 1.0)</v>
      </c>
      <c r="E152" s="3" t="str">
        <f>"Hello Tilly"</f>
        <v>Hello Tilly</v>
      </c>
      <c r="F152" s="3" t="str">
        <f>"by Polly Dunbar"</f>
        <v>by Polly Dunbar</v>
      </c>
      <c r="G152" s="3" t="str">
        <f>"Walker"</f>
        <v>Walker</v>
      </c>
      <c r="H152" s="2" t="str">
        <f>"2012"</f>
        <v>2012</v>
      </c>
      <c r="I152" s="2" t="s">
        <v>2</v>
      </c>
    </row>
    <row r="153" spans="1:9" x14ac:dyDescent="0.3">
      <c r="A153" s="2">
        <v>152</v>
      </c>
      <c r="B153" s="4" t="s">
        <v>11</v>
      </c>
      <c r="C153" s="3" t="str">
        <f>"TFC000000150"</f>
        <v>TFC000000150</v>
      </c>
      <c r="D153" s="3" t="str">
        <f>"F800-20-0160-(AR 1.0)"</f>
        <v>F800-20-0160-(AR 1.0)</v>
      </c>
      <c r="E153" s="3" t="str">
        <f>"Eloise has a lesson"</f>
        <v>Eloise has a lesson</v>
      </c>
      <c r="F153" s="3" t="str">
        <f>"story by Margaret McNamara ; illustrated by Kathryn Mitter"</f>
        <v>story by Margaret McNamara ; illustrated by Kathryn Mitter</v>
      </c>
      <c r="G153" s="3" t="str">
        <f>"Simon Spotlight"</f>
        <v>Simon Spotlight</v>
      </c>
      <c r="H153" s="2" t="str">
        <f>"2005"</f>
        <v>2005</v>
      </c>
      <c r="I153" s="3" t="str">
        <f>""</f>
        <v/>
      </c>
    </row>
    <row r="154" spans="1:9" x14ac:dyDescent="0.3">
      <c r="A154" s="2">
        <v>153</v>
      </c>
      <c r="B154" s="4" t="s">
        <v>11</v>
      </c>
      <c r="C154" s="3" t="str">
        <f>"TFC000000151"</f>
        <v>TFC000000151</v>
      </c>
      <c r="D154" s="3" t="str">
        <f>"F800-20-0161-(AR 1.0)"</f>
        <v>F800-20-0161-(AR 1.0)</v>
      </c>
      <c r="E154" s="3" t="str">
        <f>"(The)watermelon seed"</f>
        <v>(The)watermelon seed</v>
      </c>
      <c r="F154" s="3" t="str">
        <f>"Greg Pizzoli"</f>
        <v>Greg Pizzoli</v>
      </c>
      <c r="G154" s="3" t="str">
        <f>"Disney Hyperion"</f>
        <v>Disney Hyperion</v>
      </c>
      <c r="H154" s="2" t="str">
        <f>"2016"</f>
        <v>2016</v>
      </c>
      <c r="I154" s="3" t="str">
        <f>""</f>
        <v/>
      </c>
    </row>
    <row r="155" spans="1:9" x14ac:dyDescent="0.3">
      <c r="A155" s="2">
        <v>154</v>
      </c>
      <c r="B155" s="4" t="s">
        <v>11</v>
      </c>
      <c r="C155" s="3" t="str">
        <f>"TFC000000152"</f>
        <v>TFC000000152</v>
      </c>
      <c r="D155" s="3" t="str">
        <f>"F800-20-0162-(AR 1.0)"</f>
        <v>F800-20-0162-(AR 1.0)</v>
      </c>
      <c r="E155" s="3" t="str">
        <f>"Blackout"</f>
        <v>Blackout</v>
      </c>
      <c r="F155" s="3" t="str">
        <f>"by John Rocco"</f>
        <v>by John Rocco</v>
      </c>
      <c r="G155" s="3" t="str">
        <f>"Disney:Hyperion Books"</f>
        <v>Disney:Hyperion Books</v>
      </c>
      <c r="H155" s="2" t="str">
        <f>"2011"</f>
        <v>2011</v>
      </c>
      <c r="I155" s="3" t="str">
        <f>""</f>
        <v/>
      </c>
    </row>
    <row r="156" spans="1:9" x14ac:dyDescent="0.3">
      <c r="A156" s="2">
        <v>155</v>
      </c>
      <c r="B156" s="4" t="s">
        <v>11</v>
      </c>
      <c r="C156" s="3" t="str">
        <f>"TFC000000153"</f>
        <v>TFC000000153</v>
      </c>
      <c r="D156" s="3" t="str">
        <f>"F800-20-0163-(AR 1.0)"</f>
        <v>F800-20-0163-(AR 1.0)</v>
      </c>
      <c r="E156" s="3" t="str">
        <f>"Jack and Jill and big dog Bill : a phonics reader"</f>
        <v>Jack and Jill and big dog Bill : a phonics reader</v>
      </c>
      <c r="F156" s="3" t="str">
        <f>"by Martha Weston"</f>
        <v>by Martha Weston</v>
      </c>
      <c r="G156" s="3" t="str">
        <f>"Random House"</f>
        <v>Random House</v>
      </c>
      <c r="H156" s="2" t="str">
        <f>"2002"</f>
        <v>2002</v>
      </c>
      <c r="I156" s="3" t="str">
        <f>""</f>
        <v/>
      </c>
    </row>
    <row r="157" spans="1:9" x14ac:dyDescent="0.3">
      <c r="A157" s="2">
        <v>156</v>
      </c>
      <c r="B157" s="4" t="s">
        <v>11</v>
      </c>
      <c r="C157" s="3" t="str">
        <f>"TFC000000154"</f>
        <v>TFC000000154</v>
      </c>
      <c r="D157" s="3" t="str">
        <f>"F800-20-0164-(AR 1.0)"</f>
        <v>F800-20-0164-(AR 1.0)</v>
      </c>
      <c r="E157" s="3" t="str">
        <f>"(A)big guy took my ball!"</f>
        <v>(A)big guy took my ball!</v>
      </c>
      <c r="F157" s="3" t="str">
        <f>"text and illustrations by Mo Willems."</f>
        <v>text and illustrations by Mo Willems.</v>
      </c>
      <c r="G157" s="3" t="str">
        <f>"Hyperion Books for Children"</f>
        <v>Hyperion Books for Children</v>
      </c>
      <c r="H157" s="2" t="str">
        <f>"2013"</f>
        <v>2013</v>
      </c>
      <c r="I157" s="3" t="str">
        <f>""</f>
        <v/>
      </c>
    </row>
    <row r="158" spans="1:9" x14ac:dyDescent="0.3">
      <c r="A158" s="2">
        <v>157</v>
      </c>
      <c r="B158" s="4" t="s">
        <v>11</v>
      </c>
      <c r="C158" s="3" t="str">
        <f>"TFC000000155"</f>
        <v>TFC000000155</v>
      </c>
      <c r="D158" s="3" t="str">
        <f>"F800-20-0165-(AR 1.0)"</f>
        <v>F800-20-0165-(AR 1.0)</v>
      </c>
      <c r="E158" s="3" t="str">
        <f>"There is a bird on your head!"</f>
        <v>There is a bird on your head!</v>
      </c>
      <c r="F158" s="3" t="str">
        <f>"by Mo Willems"</f>
        <v>by Mo Willems</v>
      </c>
      <c r="G158" s="3" t="str">
        <f>"Hyperion Books for Children"</f>
        <v>Hyperion Books for Children</v>
      </c>
      <c r="H158" s="2" t="str">
        <f>"2007"</f>
        <v>2007</v>
      </c>
      <c r="I158" s="3" t="str">
        <f>""</f>
        <v/>
      </c>
    </row>
    <row r="159" spans="1:9" x14ac:dyDescent="0.3">
      <c r="A159" s="2">
        <v>158</v>
      </c>
      <c r="B159" s="4" t="s">
        <v>11</v>
      </c>
      <c r="C159" s="3" t="str">
        <f>"TFC000000156"</f>
        <v>TFC000000156</v>
      </c>
      <c r="D159" s="3" t="str">
        <f>"F800-20-0166-(AR 1.0)"</f>
        <v>F800-20-0166-(AR 1.0)</v>
      </c>
      <c r="E159" s="3" t="str">
        <f>"I really like slop!"</f>
        <v>I really like slop!</v>
      </c>
      <c r="F159" s="3" t="str">
        <f>"by Mo Willems"</f>
        <v>by Mo Willems</v>
      </c>
      <c r="G159" s="3" t="str">
        <f>"Hyperion Books for Children"</f>
        <v>Hyperion Books for Children</v>
      </c>
      <c r="H159" s="2" t="str">
        <f>"2015"</f>
        <v>2015</v>
      </c>
      <c r="I159" s="3" t="str">
        <f>""</f>
        <v/>
      </c>
    </row>
    <row r="160" spans="1:9" x14ac:dyDescent="0.3">
      <c r="A160" s="2">
        <v>159</v>
      </c>
      <c r="B160" s="4" t="s">
        <v>11</v>
      </c>
      <c r="C160" s="3" t="str">
        <f>"TFC000000157"</f>
        <v>TFC000000157</v>
      </c>
      <c r="D160" s="3" t="str">
        <f>"F800-20-0167-(AR 1.0)"</f>
        <v>F800-20-0167-(AR 1.0)</v>
      </c>
      <c r="E160" s="3" t="str">
        <f>"Let's go for a drive!"</f>
        <v>Let's go for a drive!</v>
      </c>
      <c r="F160" s="3" t="str">
        <f>"by Mo Willems"</f>
        <v>by Mo Willems</v>
      </c>
      <c r="G160" s="3" t="str">
        <f>"Hyperion Books for Children"</f>
        <v>Hyperion Books for Children</v>
      </c>
      <c r="H160" s="2" t="str">
        <f>"2013"</f>
        <v>2013</v>
      </c>
      <c r="I160" s="3" t="str">
        <f>""</f>
        <v/>
      </c>
    </row>
    <row r="161" spans="1:9" x14ac:dyDescent="0.3">
      <c r="A161" s="2">
        <v>160</v>
      </c>
      <c r="B161" s="4" t="s">
        <v>11</v>
      </c>
      <c r="C161" s="3" t="str">
        <f>"TFC000000158"</f>
        <v>TFC000000158</v>
      </c>
      <c r="D161" s="3" t="str">
        <f>"F800-20-0168-(AR 1.0)"</f>
        <v>F800-20-0168-(AR 1.0)</v>
      </c>
      <c r="E161" s="3" t="str">
        <f>"(The)duckling gets a cookie!?"</f>
        <v>(The)duckling gets a cookie!?</v>
      </c>
      <c r="F161" s="3" t="str">
        <f>"words and picture by Mo Willems"</f>
        <v>words and picture by Mo Willems</v>
      </c>
      <c r="G161" s="3" t="str">
        <f>"Hyperion Books for Children"</f>
        <v>Hyperion Books for Children</v>
      </c>
      <c r="H161" s="2" t="str">
        <f>"2012"</f>
        <v>2012</v>
      </c>
      <c r="I161" s="3" t="str">
        <f>""</f>
        <v/>
      </c>
    </row>
    <row r="162" spans="1:9" x14ac:dyDescent="0.3">
      <c r="A162" s="2">
        <v>161</v>
      </c>
      <c r="B162" s="4" t="s">
        <v>11</v>
      </c>
      <c r="C162" s="3" t="str">
        <f>"TFC000000159"</f>
        <v>TFC000000159</v>
      </c>
      <c r="D162" s="3" t="str">
        <f>"F800-20-0169-(AR 1.0)"</f>
        <v>F800-20-0169-(AR 1.0)</v>
      </c>
      <c r="E162" s="3" t="str">
        <f>"(The)pigeon finds a hot dog!"</f>
        <v>(The)pigeon finds a hot dog!</v>
      </c>
      <c r="F162" s="3" t="str">
        <f>"words and pictures by Mo Willems"</f>
        <v>words and pictures by Mo Willems</v>
      </c>
      <c r="G162" s="3" t="str">
        <f>"Hyperion books for children"</f>
        <v>Hyperion books for children</v>
      </c>
      <c r="H162" s="2" t="str">
        <f>"2004"</f>
        <v>2004</v>
      </c>
      <c r="I162" s="3" t="str">
        <f>""</f>
        <v/>
      </c>
    </row>
    <row r="163" spans="1:9" x14ac:dyDescent="0.3">
      <c r="A163" s="2">
        <v>162</v>
      </c>
      <c r="B163" s="4" t="s">
        <v>11</v>
      </c>
      <c r="C163" s="3" t="str">
        <f>"TFC000002820"</f>
        <v>TFC000002820</v>
      </c>
      <c r="D163" s="3" t="str">
        <f>"F800-20-0170-(AR 1.0)"</f>
        <v>F800-20-0170-(AR 1.0)</v>
      </c>
      <c r="E163" s="3" t="str">
        <f>"Watch me throw the ball!"</f>
        <v>Watch me throw the ball!</v>
      </c>
      <c r="F163" s="3" t="str">
        <f>"by Mo Willems"</f>
        <v>by Mo Willems</v>
      </c>
      <c r="G163" s="3" t="str">
        <f>"Hyperion Books for Children"</f>
        <v>Hyperion Books for Children</v>
      </c>
      <c r="H163" s="2" t="str">
        <f>"2009"</f>
        <v>2009</v>
      </c>
      <c r="I163" s="3" t="str">
        <f>""</f>
        <v/>
      </c>
    </row>
    <row r="164" spans="1:9" x14ac:dyDescent="0.3">
      <c r="A164" s="2">
        <v>163</v>
      </c>
      <c r="B164" s="4" t="s">
        <v>11</v>
      </c>
      <c r="C164" s="3" t="str">
        <f>"TFC000004330"</f>
        <v>TFC000004330</v>
      </c>
      <c r="D164" s="3" t="str">
        <f>"F300-22-0139-(AR 1.0)"</f>
        <v>F300-22-0139-(AR 1.0)</v>
      </c>
      <c r="E164" s="3" t="str">
        <f>"Parents"</f>
        <v>Parents</v>
      </c>
      <c r="F164" s="3" t="str">
        <f>"by Gail Saunders-Smith"</f>
        <v>by Gail Saunders-Smith</v>
      </c>
      <c r="G164" s="3" t="str">
        <f>"Capstone Press"</f>
        <v>Capstone Press</v>
      </c>
      <c r="H164" s="2" t="str">
        <f>"1998"</f>
        <v>1998</v>
      </c>
      <c r="I164" s="3" t="str">
        <f>""</f>
        <v/>
      </c>
    </row>
    <row r="165" spans="1:9" x14ac:dyDescent="0.3">
      <c r="A165" s="2">
        <v>164</v>
      </c>
      <c r="B165" s="4" t="s">
        <v>11</v>
      </c>
      <c r="C165" s="3" t="str">
        <f>"TFC000003470"</f>
        <v>TFC000003470</v>
      </c>
      <c r="D165" s="3" t="str">
        <f>"F800-21-0023-(AR 1.0)"</f>
        <v>F800-21-0023-(AR 1.0)</v>
      </c>
      <c r="E165" s="3" t="str">
        <f>"That is not a good idea!"</f>
        <v>That is not a good idea!</v>
      </c>
      <c r="F165" s="3" t="str">
        <f>"by Mo Willems"</f>
        <v>by Mo Willems</v>
      </c>
      <c r="G165" s="3" t="str">
        <f>"Walker Books"</f>
        <v>Walker Books</v>
      </c>
      <c r="H165" s="2" t="str">
        <f>"2014"</f>
        <v>2014</v>
      </c>
      <c r="I165" s="3" t="str">
        <f>""</f>
        <v/>
      </c>
    </row>
    <row r="166" spans="1:9" x14ac:dyDescent="0.3">
      <c r="A166" s="2">
        <v>165</v>
      </c>
      <c r="B166" s="4" t="s">
        <v>11</v>
      </c>
      <c r="C166" s="3" t="str">
        <f>"TFC000003907"</f>
        <v>TFC000003907</v>
      </c>
      <c r="D166" s="3" t="str">
        <f>"F800-21-0027-(AR 1.0)"</f>
        <v>F800-21-0027-(AR 1.0)</v>
      </c>
      <c r="E166" s="3" t="str">
        <f>"(The)Bear in my family"</f>
        <v>(The)Bear in my family</v>
      </c>
      <c r="F166" s="3" t="str">
        <f>"Maya Tatsukawa"</f>
        <v>Maya Tatsukawa</v>
      </c>
      <c r="G166" s="3" t="str">
        <f>"Dial Books for Young Readers"</f>
        <v>Dial Books for Young Readers</v>
      </c>
      <c r="H166" s="2" t="str">
        <f>"2020"</f>
        <v>2020</v>
      </c>
      <c r="I166" s="3" t="str">
        <f>""</f>
        <v/>
      </c>
    </row>
    <row r="167" spans="1:9" x14ac:dyDescent="0.3">
      <c r="A167" s="2">
        <v>166</v>
      </c>
      <c r="B167" s="4" t="s">
        <v>11</v>
      </c>
      <c r="C167" s="3" t="str">
        <f>"TFC000003597"</f>
        <v>TFC000003597</v>
      </c>
      <c r="D167" s="3" t="str">
        <f>"F800-21-0024-(AR 1.0)"</f>
        <v>F800-21-0024-(AR 1.0)</v>
      </c>
      <c r="E167" s="3" t="str">
        <f>"Swim swim sink"</f>
        <v>Swim swim sink</v>
      </c>
      <c r="F167" s="3" t="str">
        <f>"by Jenn Harney"</f>
        <v>by Jenn Harney</v>
      </c>
      <c r="G167" s="3" t="str">
        <f>"Disney·Hyperion"</f>
        <v>Disney·Hyperion</v>
      </c>
      <c r="H167" s="2" t="str">
        <f>"2020"</f>
        <v>2020</v>
      </c>
      <c r="I167" s="3" t="str">
        <f>""</f>
        <v/>
      </c>
    </row>
    <row r="168" spans="1:9" x14ac:dyDescent="0.3">
      <c r="A168" s="2">
        <v>167</v>
      </c>
      <c r="B168" s="4" t="s">
        <v>11</v>
      </c>
      <c r="C168" s="3" t="str">
        <f>"TFC000003776"</f>
        <v>TFC000003776</v>
      </c>
      <c r="D168" s="3" t="str">
        <f>"F800-21-0025-(AR 1.0)"</f>
        <v>F800-21-0025-(AR 1.0)</v>
      </c>
      <c r="E168" s="3" t="str">
        <f>"Stop! Bot!"</f>
        <v>Stop! Bot!</v>
      </c>
      <c r="F168" s="3" t="str">
        <f>"illustrated by James Yang"</f>
        <v>illustrated by James Yang</v>
      </c>
      <c r="G168" s="3" t="str">
        <f>"Viking Childrens Books"</f>
        <v>Viking Childrens Books</v>
      </c>
      <c r="H168" s="2" t="str">
        <f>"2019"</f>
        <v>2019</v>
      </c>
      <c r="I168" s="3" t="str">
        <f>""</f>
        <v/>
      </c>
    </row>
    <row r="169" spans="1:9" x14ac:dyDescent="0.3">
      <c r="A169" s="2">
        <v>168</v>
      </c>
      <c r="B169" s="4" t="s">
        <v>11</v>
      </c>
      <c r="C169" s="3" t="str">
        <f>"TFC000003778"</f>
        <v>TFC000003778</v>
      </c>
      <c r="D169" s="3" t="str">
        <f>"F800-21-0026-(AR 1.0)"</f>
        <v>F800-21-0026-(AR 1.0)</v>
      </c>
      <c r="E169" s="3" t="str">
        <f>"(The)watermelon seed"</f>
        <v>(The)watermelon seed</v>
      </c>
      <c r="F169" s="3" t="str">
        <f>"by Greg Pizzoli"</f>
        <v>by Greg Pizzoli</v>
      </c>
      <c r="G169" s="3" t="str">
        <f>"Disney Hyperion"</f>
        <v>Disney Hyperion</v>
      </c>
      <c r="H169" s="2" t="str">
        <f>"2013"</f>
        <v>2013</v>
      </c>
      <c r="I169" s="3" t="str">
        <f>""</f>
        <v/>
      </c>
    </row>
    <row r="170" spans="1:9" x14ac:dyDescent="0.3">
      <c r="A170" s="2">
        <v>169</v>
      </c>
      <c r="B170" s="4" t="s">
        <v>11</v>
      </c>
      <c r="C170" s="3" t="str">
        <f>"TFC000004022"</f>
        <v>TFC000004022</v>
      </c>
      <c r="D170" s="3" t="str">
        <f>"F800-21-0028-(AR 1.0)"</f>
        <v>F800-21-0028-(AR 1.0)</v>
      </c>
      <c r="E170" s="3" t="str">
        <f>"(The)Space race"</f>
        <v>(The)Space race</v>
      </c>
      <c r="F170" s="3" t="str">
        <f>"by Jenny Jinks, illustrated by Serena Lombardo"</f>
        <v>by Jenny Jinks, illustrated by Serena Lombardo</v>
      </c>
      <c r="G170" s="3" t="str">
        <f>"Lerner Publications"</f>
        <v>Lerner Publications</v>
      </c>
      <c r="H170" s="2" t="str">
        <f>"2021"</f>
        <v>2021</v>
      </c>
      <c r="I170" s="3" t="str">
        <f>""</f>
        <v/>
      </c>
    </row>
    <row r="171" spans="1:9" x14ac:dyDescent="0.3">
      <c r="A171" s="2">
        <v>170</v>
      </c>
      <c r="B171" s="4" t="s">
        <v>11</v>
      </c>
      <c r="C171" s="3" t="str">
        <f>"TFC000004023"</f>
        <v>TFC000004023</v>
      </c>
      <c r="D171" s="3" t="str">
        <f>"F800-21-0029-(AR 1.0)"</f>
        <v>F800-21-0029-(AR 1.0)</v>
      </c>
      <c r="E171" s="3" t="str">
        <f>"Planet Odd"</f>
        <v>Planet Odd</v>
      </c>
      <c r="F171" s="3" t="str">
        <f>"by Jenny Jinks, illustrated by Felicia Whaley"</f>
        <v>by Jenny Jinks, illustrated by Felicia Whaley</v>
      </c>
      <c r="G171" s="3" t="str">
        <f>"Lerner"</f>
        <v>Lerner</v>
      </c>
      <c r="H171" s="2" t="str">
        <f>"2021"</f>
        <v>2021</v>
      </c>
      <c r="I171" s="3" t="str">
        <f>""</f>
        <v/>
      </c>
    </row>
    <row r="172" spans="1:9" x14ac:dyDescent="0.3">
      <c r="A172" s="2">
        <v>171</v>
      </c>
      <c r="B172" s="4" t="s">
        <v>11</v>
      </c>
      <c r="C172" s="3" t="str">
        <f>"TFC000004024"</f>
        <v>TFC000004024</v>
      </c>
      <c r="D172" s="3" t="str">
        <f>"F800-21-0030-(AR 1.0)"</f>
        <v>F800-21-0030-(AR 1.0)</v>
      </c>
      <c r="E172" s="3" t="str">
        <f>"Kraken Me Up"</f>
        <v>Kraken Me Up</v>
      </c>
      <c r="F172" s="3" t="str">
        <f>"by Jeffrey Ebbeler"</f>
        <v>by Jeffrey Ebbeler</v>
      </c>
      <c r="G172" s="3" t="str">
        <f>"Holiday House"</f>
        <v>Holiday House</v>
      </c>
      <c r="H172" s="2" t="str">
        <f>"2021"</f>
        <v>2021</v>
      </c>
      <c r="I172" s="3" t="str">
        <f>""</f>
        <v/>
      </c>
    </row>
    <row r="173" spans="1:9" x14ac:dyDescent="0.3">
      <c r="A173" s="2">
        <v>172</v>
      </c>
      <c r="B173" s="4" t="s">
        <v>11</v>
      </c>
      <c r="C173" s="3" t="str">
        <f>"TFC000004134"</f>
        <v>TFC000004134</v>
      </c>
      <c r="D173" s="3" t="str">
        <f>"F800-21-0031-(AR 1.0)"</f>
        <v>F800-21-0031-(AR 1.0)</v>
      </c>
      <c r="E173" s="3" t="str">
        <f>"Hippo and rabbit in three short tales"</f>
        <v>Hippo and rabbit in three short tales</v>
      </c>
      <c r="F173" s="3" t="str">
        <f>"Jeff Mack"</f>
        <v>Jeff Mack</v>
      </c>
      <c r="G173" s="3" t="str">
        <f>"Scholastic"</f>
        <v>Scholastic</v>
      </c>
      <c r="H173" s="2" t="str">
        <f>"c2011"</f>
        <v>c2011</v>
      </c>
      <c r="I173" s="3" t="str">
        <f>""</f>
        <v/>
      </c>
    </row>
    <row r="174" spans="1:9" x14ac:dyDescent="0.3">
      <c r="A174" s="2">
        <v>173</v>
      </c>
      <c r="B174" s="4" t="s">
        <v>11</v>
      </c>
      <c r="C174" s="3" t="str">
        <f>"TFC000000149"</f>
        <v>TFC000000149</v>
      </c>
      <c r="D174" s="3" t="str">
        <f>"F800-20-0159-(AR 1.0)"</f>
        <v>F800-20-0159-(AR 1.0)</v>
      </c>
      <c r="E174" s="3" t="str">
        <f>"Eloise breaks some eggs"</f>
        <v>Eloise breaks some eggs</v>
      </c>
      <c r="F174" s="3" t="str">
        <f>"story by Margaret McNamara ; illustrated by Tammie Lyon"</f>
        <v>story by Margaret McNamara ; illustrated by Tammie Lyon</v>
      </c>
      <c r="G174" s="3" t="str">
        <f>"Simon Spotlight"</f>
        <v>Simon Spotlight</v>
      </c>
      <c r="H174" s="2" t="str">
        <f>"2012"</f>
        <v>2012</v>
      </c>
      <c r="I174" s="3" t="str">
        <f>""</f>
        <v/>
      </c>
    </row>
    <row r="175" spans="1:9" x14ac:dyDescent="0.3">
      <c r="A175" s="2">
        <v>174</v>
      </c>
      <c r="B175" s="4" t="s">
        <v>11</v>
      </c>
      <c r="C175" s="3" t="str">
        <f>"TFC000000148"</f>
        <v>TFC000000148</v>
      </c>
      <c r="D175" s="3" t="str">
        <f>"F800-20-0158-(AR 1.0)"</f>
        <v>F800-20-0158-(AR 1.0)</v>
      </c>
      <c r="E175" s="3" t="str">
        <f>"Dragon egg"</f>
        <v>Dragon egg</v>
      </c>
      <c r="F175" s="3" t="str">
        <f>"by Mallory Loehr ; illustrated by Hala Wittwer"</f>
        <v>by Mallory Loehr ; illustrated by Hala Wittwer</v>
      </c>
      <c r="G175" s="3" t="str">
        <f>"Random House"</f>
        <v>Random House</v>
      </c>
      <c r="H175" s="2" t="str">
        <f>"2007"</f>
        <v>2007</v>
      </c>
      <c r="I175" s="3" t="str">
        <f>""</f>
        <v/>
      </c>
    </row>
    <row r="176" spans="1:9" x14ac:dyDescent="0.3">
      <c r="A176" s="2">
        <v>175</v>
      </c>
      <c r="B176" s="4" t="s">
        <v>11</v>
      </c>
      <c r="C176" s="3" t="str">
        <f>"TFC000000146"</f>
        <v>TFC000000146</v>
      </c>
      <c r="D176" s="3" t="str">
        <f>"F800-20-0156-(AR 1.0)"</f>
        <v>F800-20-0156-(AR 1.0)</v>
      </c>
      <c r="E176" s="3" t="str">
        <f>"Strawberry jam"</f>
        <v>Strawberry jam</v>
      </c>
      <c r="F176" s="3" t="str">
        <f>"written by Roderick Hunt ; illustrated by Alex Brychta"</f>
        <v>written by Roderick Hunt ; illustrated by Alex Brychta</v>
      </c>
      <c r="G176" s="3" t="str">
        <f>"Oxford University Press"</f>
        <v>Oxford University Press</v>
      </c>
      <c r="H176" s="2" t="str">
        <f>"2011"</f>
        <v>2011</v>
      </c>
      <c r="I176" s="3" t="str">
        <f>""</f>
        <v/>
      </c>
    </row>
    <row r="177" spans="1:9" x14ac:dyDescent="0.3">
      <c r="A177" s="2">
        <v>176</v>
      </c>
      <c r="B177" s="4" t="s">
        <v>11</v>
      </c>
      <c r="C177" s="3" t="str">
        <f>"TFC000000145"</f>
        <v>TFC000000145</v>
      </c>
      <c r="D177" s="3" t="str">
        <f>"F800-20-0155-(AR 1.0)"</f>
        <v>F800-20-0155-(AR 1.0)</v>
      </c>
      <c r="E177" s="3" t="str">
        <f>"(The)storm"</f>
        <v>(The)storm</v>
      </c>
      <c r="F177" s="3" t="str">
        <f>"written by Roderick Hunt ; illustrated by Alex Brychta"</f>
        <v>written by Roderick Hunt ; illustrated by Alex Brychta</v>
      </c>
      <c r="G177" s="3" t="str">
        <f>"Oxford University Press"</f>
        <v>Oxford University Press</v>
      </c>
      <c r="H177" s="2" t="str">
        <f>"2011"</f>
        <v>2011</v>
      </c>
      <c r="I177" s="3" t="str">
        <f>""</f>
        <v/>
      </c>
    </row>
    <row r="178" spans="1:9" x14ac:dyDescent="0.3">
      <c r="A178" s="2">
        <v>177</v>
      </c>
      <c r="B178" s="4" t="s">
        <v>11</v>
      </c>
      <c r="C178" s="3" t="str">
        <f>"TFC000000144"</f>
        <v>TFC000000144</v>
      </c>
      <c r="D178" s="3" t="str">
        <f>"F800-20-0154-(AR 1.0)"</f>
        <v>F800-20-0154-(AR 1.0)</v>
      </c>
      <c r="E178" s="3" t="str">
        <f>"(The)play"</f>
        <v>(The)play</v>
      </c>
      <c r="F178" s="3" t="str">
        <f>"written by Roderick Hunt ; illustrated by Alex Brychta"</f>
        <v>written by Roderick Hunt ; illustrated by Alex Brychta</v>
      </c>
      <c r="G178" s="3" t="str">
        <f>"Oxford University Press"</f>
        <v>Oxford University Press</v>
      </c>
      <c r="H178" s="2" t="str">
        <f>"2011"</f>
        <v>2011</v>
      </c>
      <c r="I178" s="3" t="str">
        <f>""</f>
        <v/>
      </c>
    </row>
    <row r="179" spans="1:9" x14ac:dyDescent="0.3">
      <c r="A179" s="2">
        <v>178</v>
      </c>
      <c r="B179" s="4" t="s">
        <v>11</v>
      </c>
      <c r="C179" s="3" t="str">
        <f>"TFC000000143"</f>
        <v>TFC000000143</v>
      </c>
      <c r="D179" s="3" t="str">
        <f>"F800-20-0153-(AR 1.0)"</f>
        <v>F800-20-0153-(AR 1.0)</v>
      </c>
      <c r="E179" s="3" t="str">
        <f>"Look smart"</f>
        <v>Look smart</v>
      </c>
      <c r="F179" s="3" t="str">
        <f>"written by Roderick Hunt ; illustrated by Alex Brychta"</f>
        <v>written by Roderick Hunt ; illustrated by Alex Brychta</v>
      </c>
      <c r="G179" s="3" t="str">
        <f>"Oxford University Press"</f>
        <v>Oxford University Press</v>
      </c>
      <c r="H179" s="2" t="str">
        <f>"2011"</f>
        <v>2011</v>
      </c>
      <c r="I179" s="3" t="str">
        <f>""</f>
        <v/>
      </c>
    </row>
    <row r="180" spans="1:9" x14ac:dyDescent="0.3">
      <c r="A180" s="2">
        <v>179</v>
      </c>
      <c r="B180" s="4" t="s">
        <v>11</v>
      </c>
      <c r="C180" s="3" t="str">
        <f>"TFC000000142"</f>
        <v>TFC000000142</v>
      </c>
      <c r="D180" s="3" t="str">
        <f>"F800-20-0152-(AR 1.0)"</f>
        <v>F800-20-0152-(AR 1.0)</v>
      </c>
      <c r="E180" s="3" t="str">
        <f>"(The)dream"</f>
        <v>(The)dream</v>
      </c>
      <c r="F180" s="3" t="str">
        <f>"written by Roderick Hunt ; illustrated by Alex Brychta"</f>
        <v>written by Roderick Hunt ; illustrated by Alex Brychta</v>
      </c>
      <c r="G180" s="3" t="str">
        <f>"Oxford University Press"</f>
        <v>Oxford University Press</v>
      </c>
      <c r="H180" s="2" t="str">
        <f>"2011"</f>
        <v>2011</v>
      </c>
      <c r="I180" s="3" t="str">
        <f>""</f>
        <v/>
      </c>
    </row>
    <row r="181" spans="1:9" x14ac:dyDescent="0.3">
      <c r="A181" s="2">
        <v>180</v>
      </c>
      <c r="B181" s="4" t="s">
        <v>11</v>
      </c>
      <c r="C181" s="3" t="str">
        <f>"TFC000000141"</f>
        <v>TFC000000141</v>
      </c>
      <c r="D181" s="3" t="str">
        <f>"F800-20-0151-(AR 1.0)"</f>
        <v>F800-20-0151-(AR 1.0)</v>
      </c>
      <c r="E181" s="3" t="str">
        <f>"(The)balloon"</f>
        <v>(The)balloon</v>
      </c>
      <c r="F181" s="3" t="str">
        <f>"written by Roderick Hunt ; illustrated by Alex Brychta"</f>
        <v>written by Roderick Hunt ; illustrated by Alex Brychta</v>
      </c>
      <c r="G181" s="3" t="str">
        <f>"Oxford University Press"</f>
        <v>Oxford University Press</v>
      </c>
      <c r="H181" s="2" t="str">
        <f>"2011"</f>
        <v>2011</v>
      </c>
      <c r="I181" s="3" t="str">
        <f>""</f>
        <v/>
      </c>
    </row>
    <row r="182" spans="1:9" x14ac:dyDescent="0.3">
      <c r="A182" s="2">
        <v>181</v>
      </c>
      <c r="B182" s="4" t="s">
        <v>11</v>
      </c>
      <c r="C182" s="3" t="str">
        <f>"TFC000000140"</f>
        <v>TFC000000140</v>
      </c>
      <c r="D182" s="3" t="str">
        <f>"F800-20-0150-(AR 1.0)"</f>
        <v>F800-20-0150-(AR 1.0)</v>
      </c>
      <c r="E182" s="3" t="str">
        <f>"Dinosaur train"</f>
        <v>Dinosaur train</v>
      </c>
      <c r="F182" s="3" t="str">
        <f>"story and pictures by John Steven Gurney"</f>
        <v>story and pictures by John Steven Gurney</v>
      </c>
      <c r="G182" s="3" t="str">
        <f>"HarperCollins Publishers"</f>
        <v>HarperCollins Publishers</v>
      </c>
      <c r="H182" s="2" t="str">
        <f>"2002"</f>
        <v>2002</v>
      </c>
      <c r="I182" s="3" t="str">
        <f>""</f>
        <v/>
      </c>
    </row>
    <row r="183" spans="1:9" x14ac:dyDescent="0.3">
      <c r="A183" s="2">
        <v>182</v>
      </c>
      <c r="B183" s="4" t="s">
        <v>11</v>
      </c>
      <c r="C183" s="3" t="str">
        <f>"TFC000000138"</f>
        <v>TFC000000138</v>
      </c>
      <c r="D183" s="3" t="str">
        <f>"F800-20-0148-(AR 1.0)"</f>
        <v>F800-20-0148-(AR 1.0)</v>
      </c>
      <c r="E183" s="3" t="str">
        <f>"Biscuit's new trick"</f>
        <v>Biscuit's new trick</v>
      </c>
      <c r="F183" s="3" t="str">
        <f>"story by Alyssa Satin Capucilli ; pictures by Pat Schories"</f>
        <v>story by Alyssa Satin Capucilli ; pictures by Pat Schories</v>
      </c>
      <c r="G183" s="3" t="str">
        <f>"HarperTrophy"</f>
        <v>HarperTrophy</v>
      </c>
      <c r="H183" s="2" t="str">
        <f>"2000"</f>
        <v>2000</v>
      </c>
      <c r="I183" s="3" t="str">
        <f>""</f>
        <v/>
      </c>
    </row>
    <row r="184" spans="1:9" x14ac:dyDescent="0.3">
      <c r="A184" s="2">
        <v>183</v>
      </c>
      <c r="B184" s="4" t="s">
        <v>11</v>
      </c>
      <c r="C184" s="3" t="str">
        <f>"TFC000000137"</f>
        <v>TFC000000137</v>
      </c>
      <c r="D184" s="3" t="str">
        <f>"F800-20-0147-(AR 1.0)"</f>
        <v>F800-20-0147-(AR 1.0)</v>
      </c>
      <c r="E184" s="3" t="str">
        <f>"Biscuit visits the big city"</f>
        <v>Biscuit visits the big city</v>
      </c>
      <c r="F184" s="3" t="str">
        <f>"story by Alyssa Satin Capucilli ; pictures by Pat Schories"</f>
        <v>story by Alyssa Satin Capucilli ; pictures by Pat Schories</v>
      </c>
      <c r="G184" s="3" t="str">
        <f>"HarperCollins Publishers"</f>
        <v>HarperCollins Publishers</v>
      </c>
      <c r="H184" s="2" t="str">
        <f>"2006"</f>
        <v>2006</v>
      </c>
      <c r="I184" s="3" t="str">
        <f>""</f>
        <v/>
      </c>
    </row>
    <row r="185" spans="1:9" x14ac:dyDescent="0.3">
      <c r="A185" s="2">
        <v>184</v>
      </c>
      <c r="B185" s="4" t="s">
        <v>11</v>
      </c>
      <c r="C185" s="3" t="str">
        <f>"TFC000000136"</f>
        <v>TFC000000136</v>
      </c>
      <c r="D185" s="3" t="str">
        <f>"F800-20-0146-(AR 1.0)"</f>
        <v>F800-20-0146-(AR 1.0)</v>
      </c>
      <c r="E185" s="3" t="str">
        <f>"(The)snowman and the snowdog"</f>
        <v>(The)snowman and the snowdog</v>
      </c>
      <c r="F185" s="3" t="str">
        <f>"based on characters created by Raymond Briggs ; adapted by Anna Membrino ; illustrated by Maggie Downer"</f>
        <v>based on characters created by Raymond Briggs ; adapted by Anna Membrino ; illustrated by Maggie Downer</v>
      </c>
      <c r="G185" s="3" t="str">
        <f>"Random House"</f>
        <v>Random House</v>
      </c>
      <c r="H185" s="2" t="str">
        <f>"2015"</f>
        <v>2015</v>
      </c>
      <c r="I185" s="3" t="str">
        <f>""</f>
        <v/>
      </c>
    </row>
    <row r="186" spans="1:9" x14ac:dyDescent="0.3">
      <c r="A186" s="2">
        <v>185</v>
      </c>
      <c r="B186" s="4" t="s">
        <v>11</v>
      </c>
      <c r="C186" s="3" t="str">
        <f>"TFC000000135"</f>
        <v>TFC000000135</v>
      </c>
      <c r="D186" s="3" t="str">
        <f>"F800-20-0145-(AR 1.0)"</f>
        <v>F800-20-0145-(AR 1.0)</v>
      </c>
      <c r="E186" s="3" t="str">
        <f>"Thank you, Mr. Panda"</f>
        <v>Thank you, Mr. Panda</v>
      </c>
      <c r="F186" s="3" t="str">
        <f>"Steve Antony"</f>
        <v>Steve Antony</v>
      </c>
      <c r="G186" s="3" t="str">
        <f>"Scholastic"</f>
        <v>Scholastic</v>
      </c>
      <c r="H186" s="2" t="str">
        <f>"2017"</f>
        <v>2017</v>
      </c>
      <c r="I186" s="3" t="str">
        <f>""</f>
        <v/>
      </c>
    </row>
    <row r="187" spans="1:9" x14ac:dyDescent="0.3">
      <c r="A187" s="2">
        <v>186</v>
      </c>
      <c r="B187" s="4" t="s">
        <v>11</v>
      </c>
      <c r="C187" s="3" t="str">
        <f>"TFC000000134"</f>
        <v>TFC000000134</v>
      </c>
      <c r="D187" s="3" t="str">
        <f>"F800-20-0144-(AR 1.0)"</f>
        <v>F800-20-0144-(AR 1.0)</v>
      </c>
      <c r="E187" s="3" t="str">
        <f>"Sheep in a jeep"</f>
        <v>Sheep in a jeep</v>
      </c>
      <c r="F187" s="3" t="str">
        <f>"Nancy E. Shaw ; illustrated by Margot Apple"</f>
        <v>Nancy E. Shaw ; illustrated by Margot Apple</v>
      </c>
      <c r="G187" s="3" t="str">
        <f>"Houghton Mifflin Company"</f>
        <v>Houghton Mifflin Company</v>
      </c>
      <c r="H187" s="2" t="str">
        <f>"1986"</f>
        <v>1986</v>
      </c>
      <c r="I187" s="3" t="str">
        <f>""</f>
        <v/>
      </c>
    </row>
    <row r="188" spans="1:9" x14ac:dyDescent="0.3">
      <c r="A188" s="2">
        <v>187</v>
      </c>
      <c r="B188" s="4" t="s">
        <v>11</v>
      </c>
      <c r="C188" s="3" t="str">
        <f>"TFC000000133"</f>
        <v>TFC000000133</v>
      </c>
      <c r="D188" s="3" t="str">
        <f>"F800-20-0143-(AR 1.0)"</f>
        <v>F800-20-0143-(AR 1.0)</v>
      </c>
      <c r="E188" s="3" t="str">
        <f>"(The)Worst Helper Ever!"</f>
        <v>(The)Worst Helper Ever!</v>
      </c>
      <c r="F188" s="3" t="str">
        <f>"by Richard Scarry"</f>
        <v>by Richard Scarry</v>
      </c>
      <c r="G188" s="3" t="str">
        <f>"Random House"</f>
        <v>Random House</v>
      </c>
      <c r="H188" s="2" t="str">
        <f>"2005"</f>
        <v>2005</v>
      </c>
      <c r="I188" s="3" t="str">
        <f>""</f>
        <v/>
      </c>
    </row>
    <row r="189" spans="1:9" x14ac:dyDescent="0.3">
      <c r="A189" s="2">
        <v>188</v>
      </c>
      <c r="B189" s="4" t="s">
        <v>11</v>
      </c>
      <c r="C189" s="3" t="str">
        <f>"TFC000000132"</f>
        <v>TFC000000132</v>
      </c>
      <c r="D189" s="3" t="str">
        <f>"F800-20-0142-(AR 1.0)"</f>
        <v>F800-20-0142-(AR 1.0)</v>
      </c>
      <c r="E189" s="3" t="str">
        <f>"My new boy"</f>
        <v>My new boy</v>
      </c>
      <c r="F189" s="3" t="str">
        <f>"by Joan Phillips ; illustrated by Lynn Munsinger"</f>
        <v>by Joan Phillips ; illustrated by Lynn Munsinger</v>
      </c>
      <c r="G189" s="3" t="str">
        <f>"Random House"</f>
        <v>Random House</v>
      </c>
      <c r="H189" s="2" t="str">
        <f>"2005"</f>
        <v>2005</v>
      </c>
      <c r="I189" s="3" t="str">
        <f>""</f>
        <v/>
      </c>
    </row>
    <row r="190" spans="1:9" x14ac:dyDescent="0.3">
      <c r="A190" s="2">
        <v>189</v>
      </c>
      <c r="B190" s="4" t="s">
        <v>11</v>
      </c>
      <c r="C190" s="3" t="str">
        <f>"TFC000000131"</f>
        <v>TFC000000131</v>
      </c>
      <c r="D190" s="3" t="str">
        <f>"F800-20-0141-(AR 1.0)"</f>
        <v>F800-20-0141-(AR 1.0)</v>
      </c>
      <c r="E190" s="3" t="str">
        <f>"I am an apple"</f>
        <v>I am an apple</v>
      </c>
      <c r="F190" s="3" t="str">
        <f>"by Jean Marzollo ; illustrated by Judith Moffatt"</f>
        <v>by Jean Marzollo ; illustrated by Judith Moffatt</v>
      </c>
      <c r="G190" s="3" t="str">
        <f>"Scholastic"</f>
        <v>Scholastic</v>
      </c>
      <c r="H190" s="2" t="str">
        <f>"1999"</f>
        <v>1999</v>
      </c>
      <c r="I190" s="3" t="str">
        <f>""</f>
        <v/>
      </c>
    </row>
    <row r="191" spans="1:9" x14ac:dyDescent="0.3">
      <c r="A191" s="2">
        <v>190</v>
      </c>
      <c r="B191" s="4" t="s">
        <v>11</v>
      </c>
      <c r="C191" s="3" t="str">
        <f>"TFC000000129"</f>
        <v>TFC000000129</v>
      </c>
      <c r="D191" s="3" t="str">
        <f>"F800-20-0139-(AR 1.0)"</f>
        <v>F800-20-0139-(AR 1.0)</v>
      </c>
      <c r="E191" s="3" t="str">
        <f>"Pancakes, crackers, and pizza; : a book about shapes"</f>
        <v>Pancakes, crackers, and pizza; : a book about shapes</v>
      </c>
      <c r="F191" s="3" t="str">
        <f>"by Marjorie Eberts, Margaret Gisler ; illustrations by Stephen Hayes"</f>
        <v>by Marjorie Eberts, Margaret Gisler ; illustrations by Stephen Hayes</v>
      </c>
      <c r="G191" s="3" t="str">
        <f>"Children's Press"</f>
        <v>Children's Press</v>
      </c>
      <c r="H191" s="2" t="str">
        <f>"2002"</f>
        <v>2002</v>
      </c>
      <c r="I191" s="3" t="str">
        <f>""</f>
        <v/>
      </c>
    </row>
    <row r="192" spans="1:9" x14ac:dyDescent="0.3">
      <c r="A192" s="2">
        <v>191</v>
      </c>
      <c r="B192" s="4" t="s">
        <v>11</v>
      </c>
      <c r="C192" s="3" t="str">
        <f>"TFC000000127"</f>
        <v>TFC000000127</v>
      </c>
      <c r="D192" s="3" t="str">
        <f>"F800-20-0137-(AR 1.0)"</f>
        <v>F800-20-0137-(AR 1.0)</v>
      </c>
      <c r="E192" s="3" t="str">
        <f>"Bear in a square"</f>
        <v>Bear in a square</v>
      </c>
      <c r="F192" s="3" t="str">
        <f>"by Stella Blackstone ; illustrated by Debbie Harter"</f>
        <v>by Stella Blackstone ; illustrated by Debbie Harter</v>
      </c>
      <c r="G192" s="3" t="str">
        <f>"Barefoot Books"</f>
        <v>Barefoot Books</v>
      </c>
      <c r="H192" s="2" t="str">
        <f>"2006"</f>
        <v>2006</v>
      </c>
      <c r="I192" s="3" t="str">
        <f>""</f>
        <v/>
      </c>
    </row>
    <row r="193" spans="1:9" x14ac:dyDescent="0.3">
      <c r="A193" s="2">
        <v>192</v>
      </c>
      <c r="B193" s="4" t="s">
        <v>11</v>
      </c>
      <c r="C193" s="3" t="str">
        <f>"TFC000000126"</f>
        <v>TFC000000126</v>
      </c>
      <c r="D193" s="3" t="str">
        <f>"F400-20-0136-(AR 1.0)"</f>
        <v>F400-20-0136-(AR 1.0)</v>
      </c>
      <c r="E193" s="3" t="str">
        <f>"It's about time!"</f>
        <v>It's about time!</v>
      </c>
      <c r="F193" s="3" t="str">
        <f>"by Stuart J. Murphy ; illustrated by John Speirs"</f>
        <v>by Stuart J. Murphy ; illustrated by John Speirs</v>
      </c>
      <c r="G193" s="3" t="str">
        <f>"HarperCollins Publishers"</f>
        <v>HarperCollins Publishers</v>
      </c>
      <c r="H193" s="2" t="str">
        <f>"2005"</f>
        <v>2005</v>
      </c>
      <c r="I193" s="3" t="str">
        <f>""</f>
        <v/>
      </c>
    </row>
    <row r="194" spans="1:9" x14ac:dyDescent="0.3">
      <c r="A194" s="2">
        <v>193</v>
      </c>
      <c r="B194" s="4" t="s">
        <v>11</v>
      </c>
      <c r="C194" s="3" t="str">
        <f>"TFC000004374"</f>
        <v>TFC000004374</v>
      </c>
      <c r="D194" s="3" t="str">
        <f>"F800-22-0183-(AR1.0)"</f>
        <v>F800-22-0183-(AR1.0)</v>
      </c>
      <c r="E194" s="3" t="str">
        <f>"We Look"</f>
        <v>We Look</v>
      </c>
      <c r="F194" s="3" t="str">
        <f>"by Grosset��dunlap"</f>
        <v>by Grosset��dunlap</v>
      </c>
      <c r="G194" s="3" t="str">
        <f>"Grosset &amp; Dunlap"</f>
        <v>Grosset &amp; Dunlap</v>
      </c>
      <c r="H194" s="2" t="str">
        <f>"2003"</f>
        <v>2003</v>
      </c>
      <c r="I194" s="2" t="s">
        <v>2</v>
      </c>
    </row>
    <row r="195" spans="1:9" x14ac:dyDescent="0.3">
      <c r="A195" s="2">
        <v>194</v>
      </c>
      <c r="B195" s="4" t="s">
        <v>11</v>
      </c>
      <c r="C195" s="3" t="str">
        <f>"TFC000004642"</f>
        <v>TFC000004642</v>
      </c>
      <c r="D195" s="3" t="str">
        <f>"F800-22-0451-(AR1.0)"</f>
        <v>F800-22-0451-(AR1.0)</v>
      </c>
      <c r="E195" s="3" t="str">
        <f>"Off-limits"</f>
        <v>Off-limits</v>
      </c>
      <c r="F195" s="3" t="str">
        <f>"by Helen Yoon"</f>
        <v>by Helen Yoon</v>
      </c>
      <c r="G195" s="3" t="str">
        <f>"Candlewick"</f>
        <v>Candlewick</v>
      </c>
      <c r="H195" s="2" t="str">
        <f>"2021"</f>
        <v>2021</v>
      </c>
      <c r="I195" s="3" t="str">
        <f>""</f>
        <v/>
      </c>
    </row>
    <row r="196" spans="1:9" x14ac:dyDescent="0.3">
      <c r="A196" s="2">
        <v>195</v>
      </c>
      <c r="B196" s="4" t="s">
        <v>11</v>
      </c>
      <c r="C196" s="3" t="str">
        <f>"TFC000004414"</f>
        <v>TFC000004414</v>
      </c>
      <c r="D196" s="3" t="str">
        <f>"F400-22-0223-(AR1.0)"</f>
        <v>F400-22-0223-(AR1.0)</v>
      </c>
      <c r="E196" s="3" t="str">
        <f>"Sea Turtles"</f>
        <v>Sea Turtles</v>
      </c>
      <c r="F196" s="3" t="str">
        <f>"by Christina Leaf"</f>
        <v>by Christina Leaf</v>
      </c>
      <c r="G196" s="3" t="str">
        <f>"Blastoffi Beginners"</f>
        <v>Blastoffi Beginners</v>
      </c>
      <c r="H196" s="2" t="str">
        <f>"2020"</f>
        <v>2020</v>
      </c>
      <c r="I196" s="3" t="str">
        <f>""</f>
        <v/>
      </c>
    </row>
    <row r="197" spans="1:9" x14ac:dyDescent="0.3">
      <c r="A197" s="2">
        <v>196</v>
      </c>
      <c r="B197" s="4" t="s">
        <v>11</v>
      </c>
      <c r="C197" s="3" t="str">
        <f>"TFC000004415"</f>
        <v>TFC000004415</v>
      </c>
      <c r="D197" s="3" t="str">
        <f>"F400-22-0224-(AR1.0)"</f>
        <v>F400-22-0224-(AR1.0)</v>
      </c>
      <c r="E197" s="3" t="str">
        <f>"Whales"</f>
        <v>Whales</v>
      </c>
      <c r="F197" s="3" t="str">
        <f>"by Christina Leaf"</f>
        <v>by Christina Leaf</v>
      </c>
      <c r="G197" s="3" t="str">
        <f>"Bellwether"</f>
        <v>Bellwether</v>
      </c>
      <c r="H197" s="2" t="str">
        <f>"2020"</f>
        <v>2020</v>
      </c>
      <c r="I197" s="3" t="str">
        <f>""</f>
        <v/>
      </c>
    </row>
    <row r="198" spans="1:9" x14ac:dyDescent="0.3">
      <c r="A198" s="2">
        <v>197</v>
      </c>
      <c r="B198" s="4" t="s">
        <v>11</v>
      </c>
      <c r="C198" s="3" t="str">
        <f>"TFC000004915"</f>
        <v>TFC000004915</v>
      </c>
      <c r="D198" s="3" t="str">
        <f>"F800-23-0019-(AR1.0)"</f>
        <v>F800-23-0019-(AR1.0)</v>
      </c>
      <c r="E198" s="3" t="str">
        <f>"Click, Clack, Splish, Splash : A Counting Adventure"</f>
        <v>Click, Clack, Splish, Splash : A Counting Adventure</v>
      </c>
      <c r="F198" s="3" t="str">
        <f>"Doreen Cronin 지음 ; Betsy Lewin 그림"</f>
        <v>Doreen Cronin 지음 ; Betsy Lewin 그림</v>
      </c>
      <c r="G198" s="3" t="str">
        <f>"Atheneum Books for Young Readers"</f>
        <v>Atheneum Books for Young Readers</v>
      </c>
      <c r="H198" s="2" t="str">
        <f>"2006"</f>
        <v>2006</v>
      </c>
      <c r="I198" s="3" t="str">
        <f>""</f>
        <v/>
      </c>
    </row>
    <row r="199" spans="1:9" x14ac:dyDescent="0.3">
      <c r="A199" s="2">
        <v>198</v>
      </c>
      <c r="B199" s="4" t="s">
        <v>12</v>
      </c>
      <c r="C199" s="3" t="str">
        <f>"TFC000000188"</f>
        <v>TFC000000188</v>
      </c>
      <c r="D199" s="3" t="str">
        <f>"F800-20-0200-(AR 1.1)"</f>
        <v>F800-20-0200-(AR 1.1)</v>
      </c>
      <c r="E199" s="3" t="str">
        <f>"(The)great toy escape"</f>
        <v>(The)great toy escape</v>
      </c>
      <c r="F199" s="3" t="str">
        <f>"by Kitty Richards ; Illustrated by Caroline Egan...[et. al]"</f>
        <v>by Kitty Richards ; Illustrated by Caroline Egan...[et. al]</v>
      </c>
      <c r="G199" s="3" t="str">
        <f>"Two Ponds"</f>
        <v>Two Ponds</v>
      </c>
      <c r="H199" s="2" t="str">
        <f>"2010"</f>
        <v>2010</v>
      </c>
      <c r="I199" s="2" t="s">
        <v>2</v>
      </c>
    </row>
    <row r="200" spans="1:9" x14ac:dyDescent="0.3">
      <c r="A200" s="2">
        <v>199</v>
      </c>
      <c r="B200" s="4" t="s">
        <v>12</v>
      </c>
      <c r="C200" s="3" t="str">
        <f>"TFC000004316"</f>
        <v>TFC000004316</v>
      </c>
      <c r="D200" s="3" t="str">
        <f>"F800-22-0121-(AR 1.1)"</f>
        <v>F800-22-0121-(AR 1.1)</v>
      </c>
      <c r="E200" s="3" t="str">
        <f>"Goodnight Already!"</f>
        <v>Goodnight Already!</v>
      </c>
      <c r="F200" s="3" t="str">
        <f>"by Jory John, illustrated by Benju Davies"</f>
        <v>by Jory John, illustrated by Benju Davies</v>
      </c>
      <c r="G200" s="3" t="str">
        <f>"TWOPONDS"</f>
        <v>TWOPONDS</v>
      </c>
      <c r="H200" s="2" t="str">
        <f>"2021"</f>
        <v>2021</v>
      </c>
      <c r="I200" s="2" t="s">
        <v>2</v>
      </c>
    </row>
    <row r="201" spans="1:9" x14ac:dyDescent="0.3">
      <c r="A201" s="2">
        <v>200</v>
      </c>
      <c r="B201" s="4" t="s">
        <v>12</v>
      </c>
      <c r="C201" s="3" t="str">
        <f>"TFC000000160"</f>
        <v>TFC000000160</v>
      </c>
      <c r="D201" s="3" t="str">
        <f>"F800-20-0172-(AR 1.1)"</f>
        <v>F800-20-0172-(AR 1.1)</v>
      </c>
      <c r="E201" s="3" t="str">
        <f>"We're going on a lion hunt"</f>
        <v>We're going on a lion hunt</v>
      </c>
      <c r="F201" s="3" t="str">
        <f>"illustrated by David Axtell"</f>
        <v>illustrated by David Axtell</v>
      </c>
      <c r="G201" s="3" t="str">
        <f>"Henry Holt and Company"</f>
        <v>Henry Holt and Company</v>
      </c>
      <c r="H201" s="2" t="str">
        <f>"2012"</f>
        <v>2012</v>
      </c>
      <c r="I201" s="3" t="str">
        <f>""</f>
        <v/>
      </c>
    </row>
    <row r="202" spans="1:9" x14ac:dyDescent="0.3">
      <c r="A202" s="2">
        <v>201</v>
      </c>
      <c r="B202" s="4" t="s">
        <v>12</v>
      </c>
      <c r="C202" s="3" t="str">
        <f>"TFC000000161"</f>
        <v>TFC000000161</v>
      </c>
      <c r="D202" s="3" t="str">
        <f>"F800-20-0173-(AR 1.1)"</f>
        <v>F800-20-0173-(AR 1.1)</v>
      </c>
      <c r="E202" s="3" t="str">
        <f>"Cat' s colors"</f>
        <v>Cat' s colors</v>
      </c>
      <c r="F202" s="3" t="str">
        <f>"Jane Cabrera"</f>
        <v>Jane Cabrera</v>
      </c>
      <c r="G202" s="3" t="str">
        <f>"Puffin Books"</f>
        <v>Puffin Books</v>
      </c>
      <c r="H202" s="2" t="str">
        <f>"2000"</f>
        <v>2000</v>
      </c>
      <c r="I202" s="3" t="str">
        <f>""</f>
        <v/>
      </c>
    </row>
    <row r="203" spans="1:9" x14ac:dyDescent="0.3">
      <c r="A203" s="2">
        <v>202</v>
      </c>
      <c r="B203" s="4" t="s">
        <v>12</v>
      </c>
      <c r="C203" s="3" t="str">
        <f>"TFC000000162"</f>
        <v>TFC000000162</v>
      </c>
      <c r="D203" s="3" t="str">
        <f>"F800-20-0174-(AR 1.1)"</f>
        <v>F800-20-0174-(AR 1.1)</v>
      </c>
      <c r="E203" s="3" t="str">
        <f>"I am an planet earth"</f>
        <v>I am an planet earth</v>
      </c>
      <c r="F203" s="3" t="str">
        <f>"by Jean Marzollo ; illustrated by Judith Moffatt"</f>
        <v>by Jean Marzollo ; illustrated by Judith Moffatt</v>
      </c>
      <c r="G203" s="3" t="str">
        <f>"Scholastic"</f>
        <v>Scholastic</v>
      </c>
      <c r="H203" s="2" t="str">
        <f>"2001"</f>
        <v>2001</v>
      </c>
      <c r="I203" s="3" t="str">
        <f>""</f>
        <v/>
      </c>
    </row>
    <row r="204" spans="1:9" x14ac:dyDescent="0.3">
      <c r="A204" s="2">
        <v>203</v>
      </c>
      <c r="B204" s="4" t="s">
        <v>12</v>
      </c>
      <c r="C204" s="3" t="str">
        <f>"TFC000000163"</f>
        <v>TFC000000163</v>
      </c>
      <c r="D204" s="3" t="str">
        <f>"F800-20-0175-(AR 1.1)"</f>
        <v>F800-20-0175-(AR 1.1)</v>
      </c>
      <c r="E204" s="3" t="str">
        <f>"Slower than a snail"</f>
        <v>Slower than a snail</v>
      </c>
      <c r="F204" s="3" t="str">
        <f>"by Anna Schreiber, Larry Daste ; math activities by Marilyn Burns"</f>
        <v>by Anna Schreiber, Larry Daste ; math activities by Marilyn Burns</v>
      </c>
      <c r="G204" s="3" t="str">
        <f>"Scholastic"</f>
        <v>Scholastic</v>
      </c>
      <c r="H204" s="2" t="str">
        <f>"2004"</f>
        <v>2004</v>
      </c>
      <c r="I204" s="3" t="str">
        <f>""</f>
        <v/>
      </c>
    </row>
    <row r="205" spans="1:9" x14ac:dyDescent="0.3">
      <c r="A205" s="2">
        <v>204</v>
      </c>
      <c r="B205" s="4" t="s">
        <v>12</v>
      </c>
      <c r="C205" s="3" t="str">
        <f>"TFC000000164"</f>
        <v>TFC000000164</v>
      </c>
      <c r="D205" s="3" t="str">
        <f>"F800-20-0176-(AR 1.1)"</f>
        <v>F800-20-0176-(AR 1.1)</v>
      </c>
      <c r="E205" s="3" t="str">
        <f>"Sheep in a shop"</f>
        <v>Sheep in a shop</v>
      </c>
      <c r="F205" s="3" t="str">
        <f>"Nancy Shaw ; illustrated by Margot Apple"</f>
        <v>Nancy Shaw ; illustrated by Margot Apple</v>
      </c>
      <c r="G205" s="3" t="str">
        <f>"Houghton Mifflin Company"</f>
        <v>Houghton Mifflin Company</v>
      </c>
      <c r="H205" s="2" t="str">
        <f>"1991"</f>
        <v>1991</v>
      </c>
      <c r="I205" s="3" t="str">
        <f>""</f>
        <v/>
      </c>
    </row>
    <row r="206" spans="1:9" x14ac:dyDescent="0.3">
      <c r="A206" s="2">
        <v>205</v>
      </c>
      <c r="B206" s="4" t="s">
        <v>12</v>
      </c>
      <c r="C206" s="3" t="str">
        <f>"TFC000000165"</f>
        <v>TFC000000165</v>
      </c>
      <c r="D206" s="3" t="str">
        <f>"F800-20-0177-(AR 1.1)"</f>
        <v>F800-20-0177-(AR 1.1)</v>
      </c>
      <c r="E206" s="3" t="str">
        <f>"Hop jump"</f>
        <v>Hop jump</v>
      </c>
      <c r="F206" s="3" t="str">
        <f>"Ellen Stoll Walsh"</f>
        <v>Ellen Stoll Walsh</v>
      </c>
      <c r="G206" s="3" t="str">
        <f>"Voyager Books"</f>
        <v>Voyager Books</v>
      </c>
      <c r="H206" s="2" t="str">
        <f>"1996"</f>
        <v>1996</v>
      </c>
      <c r="I206" s="3" t="str">
        <f>""</f>
        <v/>
      </c>
    </row>
    <row r="207" spans="1:9" x14ac:dyDescent="0.3">
      <c r="A207" s="2">
        <v>206</v>
      </c>
      <c r="B207" s="4" t="s">
        <v>12</v>
      </c>
      <c r="C207" s="3" t="str">
        <f>"TFC000000166"</f>
        <v>TFC000000166</v>
      </c>
      <c r="D207" s="3" t="str">
        <f>"F800-20-0178-(AR 1.1)"</f>
        <v>F800-20-0178-(AR 1.1)</v>
      </c>
      <c r="E207" s="3" t="str">
        <f>"All by myself!"</f>
        <v>All by myself!</v>
      </c>
      <c r="F207" s="3" t="str">
        <f>"by Aliki"</f>
        <v>by Aliki</v>
      </c>
      <c r="G207" s="3" t="str">
        <f>"HarperCollins Publishers"</f>
        <v>HarperCollins Publishers</v>
      </c>
      <c r="H207" s="2" t="str">
        <f>"2000"</f>
        <v>2000</v>
      </c>
      <c r="I207" s="3" t="str">
        <f>""</f>
        <v/>
      </c>
    </row>
    <row r="208" spans="1:9" x14ac:dyDescent="0.3">
      <c r="A208" s="2">
        <v>207</v>
      </c>
      <c r="B208" s="4" t="s">
        <v>12</v>
      </c>
      <c r="C208" s="3" t="str">
        <f>"TFC000000167"</f>
        <v>TFC000000167</v>
      </c>
      <c r="D208" s="3" t="str">
        <f>"F800-20-0179-(AR 1.1)"</f>
        <v>F800-20-0179-(AR 1.1)</v>
      </c>
      <c r="E208" s="3" t="str">
        <f>"Please, Mr. Panda"</f>
        <v>Please, Mr. Panda</v>
      </c>
      <c r="F208" s="3" t="str">
        <f>"Steve Antony"</f>
        <v>Steve Antony</v>
      </c>
      <c r="G208" s="3" t="str">
        <f>"Scholastic Press"</f>
        <v>Scholastic Press</v>
      </c>
      <c r="H208" s="2" t="str">
        <f>"2015"</f>
        <v>2015</v>
      </c>
      <c r="I208" s="3" t="str">
        <f>""</f>
        <v/>
      </c>
    </row>
    <row r="209" spans="1:9" x14ac:dyDescent="0.3">
      <c r="A209" s="2">
        <v>208</v>
      </c>
      <c r="B209" s="4" t="s">
        <v>12</v>
      </c>
      <c r="C209" s="3" t="str">
        <f>"TFC000000168"</f>
        <v>TFC000000168</v>
      </c>
      <c r="D209" s="3" t="str">
        <f>"F800-20-0180-(AR 1.1)"</f>
        <v>F800-20-0180-(AR 1.1)</v>
      </c>
      <c r="E209" s="3" t="str">
        <f>"Piranhas don't eat bananass"</f>
        <v>Piranhas don't eat bananass</v>
      </c>
      <c r="F209" s="3" t="str">
        <f>"Aaron Blabey"</f>
        <v>Aaron Blabey</v>
      </c>
      <c r="G209" s="3" t="str">
        <f>"Scholastic Press"</f>
        <v>Scholastic Press</v>
      </c>
      <c r="H209" s="2" t="str">
        <f>"2019"</f>
        <v>2019</v>
      </c>
      <c r="I209" s="3" t="str">
        <f>""</f>
        <v/>
      </c>
    </row>
    <row r="210" spans="1:9" x14ac:dyDescent="0.3">
      <c r="A210" s="2">
        <v>209</v>
      </c>
      <c r="B210" s="4" t="s">
        <v>12</v>
      </c>
      <c r="C210" s="3" t="str">
        <f>"TFC000000169"</f>
        <v>TFC000000169</v>
      </c>
      <c r="D210" s="3" t="str">
        <f>"F800-20-0181-(AR 1.1)"</f>
        <v>F800-20-0181-(AR 1.1)</v>
      </c>
      <c r="E210" s="3" t="str">
        <f>"Who's afraid of the dark?"</f>
        <v>Who's afraid of the dark?</v>
      </c>
      <c r="F210" s="3" t="str">
        <f>"story and pictures by Crosby Bonsall"</f>
        <v>story and pictures by Crosby Bonsall</v>
      </c>
      <c r="G210" s="3" t="str">
        <f>"HarperCollins Publishers"</f>
        <v>HarperCollins Publishers</v>
      </c>
      <c r="H210" s="2" t="str">
        <f>"2002"</f>
        <v>2002</v>
      </c>
      <c r="I210" s="3" t="str">
        <f>""</f>
        <v/>
      </c>
    </row>
    <row r="211" spans="1:9" x14ac:dyDescent="0.3">
      <c r="A211" s="2">
        <v>210</v>
      </c>
      <c r="B211" s="4" t="s">
        <v>12</v>
      </c>
      <c r="C211" s="3" t="str">
        <f>"TFC000000170"</f>
        <v>TFC000000170</v>
      </c>
      <c r="D211" s="3" t="str">
        <f>"F800-20-0182-(AR 1.1)"</f>
        <v>F800-20-0182-(AR 1.1)</v>
      </c>
      <c r="E211" s="3" t="str">
        <f>"Bathtime for biscuit"</f>
        <v>Bathtime for biscuit</v>
      </c>
      <c r="F211" s="3" t="str">
        <f>"story by Alyssa Satin Capucilli ; pictures by Pat Schories"</f>
        <v>story by Alyssa Satin Capucilli ; pictures by Pat Schories</v>
      </c>
      <c r="G211" s="3" t="str">
        <f>"HarperTrophy"</f>
        <v>HarperTrophy</v>
      </c>
      <c r="H211" s="2" t="str">
        <f>"1998"</f>
        <v>1998</v>
      </c>
      <c r="I211" s="3" t="str">
        <f>""</f>
        <v/>
      </c>
    </row>
    <row r="212" spans="1:9" x14ac:dyDescent="0.3">
      <c r="A212" s="2">
        <v>211</v>
      </c>
      <c r="B212" s="4" t="s">
        <v>12</v>
      </c>
      <c r="C212" s="3" t="str">
        <f>"TFC000000171"</f>
        <v>TFC000000171</v>
      </c>
      <c r="D212" s="3" t="str">
        <f>"F800-20-0183-(AR 1.1)"</f>
        <v>F800-20-0183-(AR 1.1)</v>
      </c>
      <c r="E212" s="3" t="str">
        <f>"Biscuit loves the library"</f>
        <v>Biscuit loves the library</v>
      </c>
      <c r="F212" s="3" t="str">
        <f>"story by Alyssa Satin Capucilli ; pictures by Pat Schories"</f>
        <v>story by Alyssa Satin Capucilli ; pictures by Pat Schories</v>
      </c>
      <c r="G212" s="3" t="str">
        <f>"Harper"</f>
        <v>Harper</v>
      </c>
      <c r="H212" s="2" t="str">
        <f>"2014"</f>
        <v>2014</v>
      </c>
      <c r="I212" s="3" t="str">
        <f>""</f>
        <v/>
      </c>
    </row>
    <row r="213" spans="1:9" x14ac:dyDescent="0.3">
      <c r="A213" s="2">
        <v>212</v>
      </c>
      <c r="B213" s="4" t="s">
        <v>12</v>
      </c>
      <c r="C213" s="3" t="str">
        <f>"TFC000000172"</f>
        <v>TFC000000172</v>
      </c>
      <c r="D213" s="3" t="str">
        <f>"F800-20-0184-(AR 1.1)"</f>
        <v>F800-20-0184-(AR 1.1)</v>
      </c>
      <c r="E213" s="3" t="str">
        <f>"Biscuit's first sleepover"</f>
        <v>Biscuit's first sleepover</v>
      </c>
      <c r="F213" s="3" t="str">
        <f>"by Alyssa Satin Capuchilli ; pictures by Pat Schories"</f>
        <v>by Alyssa Satin Capuchilli ; pictures by Pat Schories</v>
      </c>
      <c r="G213" s="3" t="str">
        <f>"HarperFestival"</f>
        <v>HarperFestival</v>
      </c>
      <c r="H213" s="2" t="str">
        <f>"2008"</f>
        <v>2008</v>
      </c>
      <c r="I213" s="3" t="str">
        <f>""</f>
        <v/>
      </c>
    </row>
    <row r="214" spans="1:9" x14ac:dyDescent="0.3">
      <c r="A214" s="2">
        <v>213</v>
      </c>
      <c r="B214" s="4" t="s">
        <v>12</v>
      </c>
      <c r="C214" s="3" t="str">
        <f>"TFC000000173"</f>
        <v>TFC000000173</v>
      </c>
      <c r="D214" s="3" t="str">
        <f>"F800-20-0185-(AR 1.1)"</f>
        <v>F800-20-0185-(AR 1.1)</v>
      </c>
      <c r="E214" s="3" t="str">
        <f>"Duck, duck, dinosaur spring smiles"</f>
        <v>Duck, duck, dinosaur spring smiles</v>
      </c>
      <c r="F214" s="3" t="str">
        <f>"by Kallie George ; illuatrated by Oriol Vidal"</f>
        <v>by Kallie George ; illuatrated by Oriol Vidal</v>
      </c>
      <c r="G214" s="3" t="str">
        <f>"Harperr"</f>
        <v>Harperr</v>
      </c>
      <c r="H214" s="2" t="str">
        <f>"2019"</f>
        <v>2019</v>
      </c>
      <c r="I214" s="3" t="str">
        <f>""</f>
        <v/>
      </c>
    </row>
    <row r="215" spans="1:9" x14ac:dyDescent="0.3">
      <c r="A215" s="2">
        <v>214</v>
      </c>
      <c r="B215" s="4" t="s">
        <v>12</v>
      </c>
      <c r="C215" s="3" t="str">
        <f>"TFC000000174"</f>
        <v>TFC000000174</v>
      </c>
      <c r="D215" s="3" t="str">
        <f>"F800-20-0186-(AR 1.1)"</f>
        <v>F800-20-0186-(AR 1.1)</v>
      </c>
      <c r="E215" s="3" t="str">
        <f>"Happy alphabet! : a phonics reader"</f>
        <v>Happy alphabet! : a phonics reader</v>
      </c>
      <c r="F215" s="3" t="str">
        <f>"by Anna Jane Hays ; illustrated by Joe Mathieu"</f>
        <v>by Anna Jane Hays ; illustrated by Joe Mathieu</v>
      </c>
      <c r="G215" s="3" t="str">
        <f>"Random House"</f>
        <v>Random House</v>
      </c>
      <c r="H215" s="2" t="str">
        <f>"2002"</f>
        <v>2002</v>
      </c>
      <c r="I215" s="3" t="str">
        <f>""</f>
        <v/>
      </c>
    </row>
    <row r="216" spans="1:9" x14ac:dyDescent="0.3">
      <c r="A216" s="2">
        <v>215</v>
      </c>
      <c r="B216" s="4" t="s">
        <v>12</v>
      </c>
      <c r="C216" s="3" t="str">
        <f>"TFC000000175"</f>
        <v>TFC000000175</v>
      </c>
      <c r="D216" s="3" t="str">
        <f>"F800-20-0187-(AR 1.1)"</f>
        <v>F800-20-0187-(AR 1.1)</v>
      </c>
      <c r="E216" s="3" t="str">
        <f>"Silly Sara : a phonics reader"</f>
        <v>Silly Sara : a phonics reader</v>
      </c>
      <c r="F216" s="3" t="str">
        <f>"by Anna Jane Hays ; illustrated by Sylvie Wickstrom"</f>
        <v>by Anna Jane Hays ; illustrated by Sylvie Wickstrom</v>
      </c>
      <c r="G216" s="3" t="str">
        <f>"Random House"</f>
        <v>Random House</v>
      </c>
      <c r="H216" s="2" t="str">
        <f>"2002"</f>
        <v>2002</v>
      </c>
      <c r="I216" s="3" t="str">
        <f>""</f>
        <v/>
      </c>
    </row>
    <row r="217" spans="1:9" x14ac:dyDescent="0.3">
      <c r="A217" s="2">
        <v>216</v>
      </c>
      <c r="B217" s="4" t="s">
        <v>12</v>
      </c>
      <c r="C217" s="3" t="str">
        <f>"TFC000000176"</f>
        <v>TFC000000176</v>
      </c>
      <c r="D217" s="3" t="str">
        <f>"F800-20-0188-(AR 1.1)"</f>
        <v>F800-20-0188-(AR 1.1)</v>
      </c>
      <c r="E217" s="3" t="str">
        <f>"(The)den"</f>
        <v>(The)den</v>
      </c>
      <c r="F217" s="3" t="str">
        <f>"written by Roderick Hunt ; illustrated by Alex Brychta"</f>
        <v>written by Roderick Hunt ; illustrated by Alex Brychta</v>
      </c>
      <c r="G217" s="3" t="str">
        <f>"Oxford University Press"</f>
        <v>Oxford University Press</v>
      </c>
      <c r="H217" s="2" t="str">
        <f>"2011"</f>
        <v>2011</v>
      </c>
      <c r="I217" s="3" t="str">
        <f>""</f>
        <v/>
      </c>
    </row>
    <row r="218" spans="1:9" x14ac:dyDescent="0.3">
      <c r="A218" s="2">
        <v>217</v>
      </c>
      <c r="B218" s="4" t="s">
        <v>12</v>
      </c>
      <c r="C218" s="3" t="str">
        <f>"TFC000000177"</f>
        <v>TFC000000177</v>
      </c>
      <c r="D218" s="3" t="str">
        <f>"F800-20-0189-(AR 1.1)"</f>
        <v>F800-20-0189-(AR 1.1)</v>
      </c>
      <c r="E218" s="3" t="str">
        <f>"Everyone got wet"</f>
        <v>Everyone got wet</v>
      </c>
      <c r="F218" s="3" t="str">
        <f>"written by Roderick Hunt ; illustrated by Alex Brychta"</f>
        <v>written by Roderick Hunt ; illustrated by Alex Brychta</v>
      </c>
      <c r="G218" s="3" t="str">
        <f>"Oxford University Press"</f>
        <v>Oxford University Press</v>
      </c>
      <c r="H218" s="2" t="str">
        <f>"2011"</f>
        <v>2011</v>
      </c>
      <c r="I218" s="3" t="str">
        <f>""</f>
        <v/>
      </c>
    </row>
    <row r="219" spans="1:9" x14ac:dyDescent="0.3">
      <c r="A219" s="2">
        <v>218</v>
      </c>
      <c r="B219" s="4" t="s">
        <v>12</v>
      </c>
      <c r="C219" s="3" t="str">
        <f>"TFC000000178"</f>
        <v>TFC000000178</v>
      </c>
      <c r="D219" s="3" t="str">
        <f>"F800-20-0190-(AR 1.1)"</f>
        <v>F800-20-0190-(AR 1.1)</v>
      </c>
      <c r="E219" s="3" t="str">
        <f>"(An)important case"</f>
        <v>(An)important case</v>
      </c>
      <c r="F219" s="3" t="str">
        <f>"written by Roderick Hunt ; illustrated by Alex Brychta"</f>
        <v>written by Roderick Hunt ; illustrated by Alex Brychta</v>
      </c>
      <c r="G219" s="3" t="str">
        <f>"Oxford University Press"</f>
        <v>Oxford University Press</v>
      </c>
      <c r="H219" s="2" t="str">
        <f>"2011"</f>
        <v>2011</v>
      </c>
      <c r="I219" s="3" t="str">
        <f>""</f>
        <v/>
      </c>
    </row>
    <row r="220" spans="1:9" x14ac:dyDescent="0.3">
      <c r="A220" s="2">
        <v>219</v>
      </c>
      <c r="B220" s="4" t="s">
        <v>12</v>
      </c>
      <c r="C220" s="3" t="str">
        <f>"TFC000000180"</f>
        <v>TFC000000180</v>
      </c>
      <c r="D220" s="3" t="str">
        <f>"F800-20-0192-(AR 1.1)"</f>
        <v>F800-20-0192-(AR 1.1)</v>
      </c>
      <c r="E220" s="3" t="str">
        <f>"(The)secret room"</f>
        <v>(The)secret room</v>
      </c>
      <c r="F220" s="3" t="str">
        <f>"written by Roderick Hunt ; illustrated by Alex Brychta"</f>
        <v>written by Roderick Hunt ; illustrated by Alex Brychta</v>
      </c>
      <c r="G220" s="3" t="str">
        <f>"Oxford University Press"</f>
        <v>Oxford University Press</v>
      </c>
      <c r="H220" s="2" t="str">
        <f>"2011"</f>
        <v>2011</v>
      </c>
      <c r="I220" s="3" t="str">
        <f>""</f>
        <v/>
      </c>
    </row>
    <row r="221" spans="1:9" x14ac:dyDescent="0.3">
      <c r="A221" s="2">
        <v>220</v>
      </c>
      <c r="B221" s="4" t="s">
        <v>12</v>
      </c>
      <c r="C221" s="3" t="str">
        <f>"TFC000000181"</f>
        <v>TFC000000181</v>
      </c>
      <c r="D221" s="3" t="str">
        <f>"F800-20-0193-(AR 1.1)"</f>
        <v>F800-20-0193-(AR 1.1)</v>
      </c>
      <c r="E221" s="3" t="str">
        <f>"Sniff"</f>
        <v>Sniff</v>
      </c>
      <c r="F221" s="3" t="str">
        <f>"written by Roderick Hunt ; illustrated by Alex Brychta"</f>
        <v>written by Roderick Hunt ; illustrated by Alex Brychta</v>
      </c>
      <c r="G221" s="3" t="str">
        <f>"Oxford University Press"</f>
        <v>Oxford University Press</v>
      </c>
      <c r="H221" s="2" t="str">
        <f>"2011"</f>
        <v>2011</v>
      </c>
      <c r="I221" s="3" t="str">
        <f>""</f>
        <v/>
      </c>
    </row>
    <row r="222" spans="1:9" x14ac:dyDescent="0.3">
      <c r="A222" s="2">
        <v>221</v>
      </c>
      <c r="B222" s="4" t="s">
        <v>12</v>
      </c>
      <c r="C222" s="3" t="str">
        <f>"TFC000000182"</f>
        <v>TFC000000182</v>
      </c>
      <c r="D222" s="3" t="str">
        <f>"F800-20-0194-(AR 1.1)"</f>
        <v>F800-20-0194-(AR 1.1)</v>
      </c>
      <c r="E222" s="3" t="str">
        <f>"We are growing!"</f>
        <v>We are growing!</v>
      </c>
      <c r="F222" s="3" t="str">
        <f>"by Laurie Keller"</f>
        <v>by Laurie Keller</v>
      </c>
      <c r="G222" s="3" t="str">
        <f>"Hyperion Books for Children"</f>
        <v>Hyperion Books for Children</v>
      </c>
      <c r="H222" s="2" t="str">
        <f>"2016"</f>
        <v>2016</v>
      </c>
      <c r="I222" s="3" t="str">
        <f>""</f>
        <v/>
      </c>
    </row>
    <row r="223" spans="1:9" x14ac:dyDescent="0.3">
      <c r="A223" s="2">
        <v>222</v>
      </c>
      <c r="B223" s="4" t="s">
        <v>12</v>
      </c>
      <c r="C223" s="3" t="str">
        <f>"TFC000000185"</f>
        <v>TFC000000185</v>
      </c>
      <c r="D223" s="3" t="str">
        <f>"F800-20-0197-(AR 1.1)"</f>
        <v>F800-20-0197-(AR 1.1)</v>
      </c>
      <c r="E223" s="3" t="str">
        <f>"Eloise's summer vacation"</f>
        <v>Eloise's summer vacation</v>
      </c>
      <c r="F223" s="3" t="str">
        <f>"story by Lisa McClatehy ; illustrated by Tammie Lyon"</f>
        <v>story by Lisa McClatehy ; illustrated by Tammie Lyon</v>
      </c>
      <c r="G223" s="3" t="str">
        <f>"Aladdin Paperbacks"</f>
        <v>Aladdin Paperbacks</v>
      </c>
      <c r="H223" s="2" t="str">
        <f>"2007"</f>
        <v>2007</v>
      </c>
      <c r="I223" s="3" t="str">
        <f>""</f>
        <v/>
      </c>
    </row>
    <row r="224" spans="1:9" x14ac:dyDescent="0.3">
      <c r="A224" s="2">
        <v>223</v>
      </c>
      <c r="B224" s="4" t="s">
        <v>12</v>
      </c>
      <c r="C224" s="3" t="str">
        <f>"TFC000000187"</f>
        <v>TFC000000187</v>
      </c>
      <c r="D224" s="3" t="str">
        <f>"F800-20-0199-(AR 1.1)"</f>
        <v>F800-20-0199-(AR 1.1)</v>
      </c>
      <c r="E224" s="3" t="str">
        <f>"Puppy truck"</f>
        <v>Puppy truck</v>
      </c>
      <c r="F224" s="3" t="str">
        <f>"Brian Pinkney"</f>
        <v>Brian Pinkney</v>
      </c>
      <c r="G224" s="3" t="str">
        <f>"Atheneum Books for Young Readers"</f>
        <v>Atheneum Books for Young Readers</v>
      </c>
      <c r="H224" s="2" t="str">
        <f>"2019"</f>
        <v>2019</v>
      </c>
      <c r="I224" s="3" t="str">
        <f>""</f>
        <v/>
      </c>
    </row>
    <row r="225" spans="1:9" x14ac:dyDescent="0.3">
      <c r="A225" s="2">
        <v>224</v>
      </c>
      <c r="B225" s="4" t="s">
        <v>12</v>
      </c>
      <c r="C225" s="3" t="str">
        <f>"TFC000000189"</f>
        <v>TFC000000189</v>
      </c>
      <c r="D225" s="3" t="str">
        <f>"F800-20-0201-(AR 1.1)"</f>
        <v>F800-20-0201-(AR 1.1)</v>
      </c>
      <c r="E225" s="3" t="str">
        <f>"Little bea"</f>
        <v>Little bea</v>
      </c>
      <c r="F225" s="3" t="str">
        <f>"Daniel Roodee"</f>
        <v>Daniel Roodee</v>
      </c>
      <c r="G225" s="3" t="str">
        <f>"Greenwillow Books"</f>
        <v>Greenwillow Books</v>
      </c>
      <c r="H225" s="2" t="str">
        <f>"2011"</f>
        <v>2011</v>
      </c>
      <c r="I225" s="3" t="str">
        <f>""</f>
        <v/>
      </c>
    </row>
    <row r="226" spans="1:9" x14ac:dyDescent="0.3">
      <c r="A226" s="2">
        <v>225</v>
      </c>
      <c r="B226" s="4" t="s">
        <v>12</v>
      </c>
      <c r="C226" s="3" t="str">
        <f>"TFC000000191"</f>
        <v>TFC000000191</v>
      </c>
      <c r="D226" s="3" t="str">
        <f>"F800-20-0203-(AR 1.1)"</f>
        <v>F800-20-0203-(AR 1.1)</v>
      </c>
      <c r="E226" s="3" t="str">
        <f>"Bunny will not smile!"</f>
        <v>Bunny will not smile!</v>
      </c>
      <c r="F226" s="3" t="str">
        <f>"written and illustrated by Jason Tharp"</f>
        <v>written and illustrated by Jason Tharp</v>
      </c>
      <c r="G226" s="3" t="str">
        <f>"Simon Spotlight"</f>
        <v>Simon Spotlight</v>
      </c>
      <c r="H226" s="2" t="str">
        <f>"2018"</f>
        <v>2018</v>
      </c>
      <c r="I226" s="3" t="str">
        <f>""</f>
        <v/>
      </c>
    </row>
    <row r="227" spans="1:9" x14ac:dyDescent="0.3">
      <c r="A227" s="2">
        <v>226</v>
      </c>
      <c r="B227" s="4" t="s">
        <v>12</v>
      </c>
      <c r="C227" s="3" t="str">
        <f>"TFC000000192"</f>
        <v>TFC000000192</v>
      </c>
      <c r="D227" s="3" t="str">
        <f>"F800-20-0204-(AR 1.1)"</f>
        <v>F800-20-0204-(AR 1.1)</v>
      </c>
      <c r="E227" s="3" t="str">
        <f>"Almost"</f>
        <v>Almost</v>
      </c>
      <c r="F227" s="3" t="str">
        <f>"story &amp; pictures by Richard Torrey"</f>
        <v>story &amp; pictures by Richard Torrey</v>
      </c>
      <c r="G227" s="3" t="str">
        <f>"HarperCollins"</f>
        <v>HarperCollins</v>
      </c>
      <c r="H227" s="2" t="str">
        <f>"2009"</f>
        <v>2009</v>
      </c>
      <c r="I227" s="3" t="str">
        <f>""</f>
        <v/>
      </c>
    </row>
    <row r="228" spans="1:9" x14ac:dyDescent="0.3">
      <c r="A228" s="2">
        <v>227</v>
      </c>
      <c r="B228" s="4" t="s">
        <v>12</v>
      </c>
      <c r="C228" s="3" t="str">
        <f>"TFC000000193"</f>
        <v>TFC000000193</v>
      </c>
      <c r="D228" s="3" t="str">
        <f>"F800-20-0205-(AR 1.1)"</f>
        <v>F800-20-0205-(AR 1.1)</v>
      </c>
      <c r="E228" s="3" t="str">
        <f>"Don't let the pigeon stay up late!"</f>
        <v>Don't let the pigeon stay up late!</v>
      </c>
      <c r="F228" s="3" t="str">
        <f>"words and pictures by Mo Willems"</f>
        <v>words and pictures by Mo Willems</v>
      </c>
      <c r="G228" s="3" t="str">
        <f>"Walker Books"</f>
        <v>Walker Books</v>
      </c>
      <c r="H228" s="2" t="str">
        <f>"2007"</f>
        <v>2007</v>
      </c>
      <c r="I228" s="3" t="str">
        <f>""</f>
        <v/>
      </c>
    </row>
    <row r="229" spans="1:9" x14ac:dyDescent="0.3">
      <c r="A229" s="2">
        <v>228</v>
      </c>
      <c r="B229" s="4" t="s">
        <v>12</v>
      </c>
      <c r="C229" s="3" t="str">
        <f>"TFC000003194"</f>
        <v>TFC000003194</v>
      </c>
      <c r="D229" s="3" t="str">
        <f>"F800-21-0035-(AR 1.1)"</f>
        <v>F800-21-0035-(AR 1.1)</v>
      </c>
      <c r="E229" s="3" t="str">
        <f>"Biscuit and the big parade!"</f>
        <v>Biscuit and the big parade!</v>
      </c>
      <c r="F229" s="3" t="str">
        <f>"story by Alyssa Satin Capucilli ; illustrated by Pat Schories"</f>
        <v>story by Alyssa Satin Capucilli ; illustrated by Pat Schories</v>
      </c>
      <c r="G229" s="3" t="str">
        <f>"Harper"</f>
        <v>Harper</v>
      </c>
      <c r="H229" s="2" t="str">
        <f>"2018"</f>
        <v>2018</v>
      </c>
      <c r="I229" s="3" t="str">
        <f>""</f>
        <v/>
      </c>
    </row>
    <row r="230" spans="1:9" x14ac:dyDescent="0.3">
      <c r="A230" s="2">
        <v>229</v>
      </c>
      <c r="B230" s="4" t="s">
        <v>12</v>
      </c>
      <c r="C230" s="3" t="str">
        <f>"TFC000003818"</f>
        <v>TFC000003818</v>
      </c>
      <c r="D230" s="3" t="str">
        <f>"F800-21-0032-(AR 1.1)"</f>
        <v>F800-21-0032-(AR 1.1)</v>
      </c>
      <c r="E230" s="3" t="str">
        <f>"Find fergus"</f>
        <v>Find fergus</v>
      </c>
      <c r="F230" s="3" t="str">
        <f>"by Mike Boldt"</f>
        <v>by Mike Boldt</v>
      </c>
      <c r="G230" s="3" t="str">
        <f>"Doubleday Books for Young Readers"</f>
        <v>Doubleday Books for Young Readers</v>
      </c>
      <c r="H230" s="2" t="str">
        <f>"2020"</f>
        <v>2020</v>
      </c>
      <c r="I230" s="3" t="str">
        <f>""</f>
        <v/>
      </c>
    </row>
    <row r="231" spans="1:9" x14ac:dyDescent="0.3">
      <c r="A231" s="2">
        <v>230</v>
      </c>
      <c r="B231" s="4" t="s">
        <v>12</v>
      </c>
      <c r="C231" s="3" t="str">
        <f>"TFC000003893"</f>
        <v>TFC000003893</v>
      </c>
      <c r="D231" s="3" t="str">
        <f>"F800-21-0033-(AR 1.1)"</f>
        <v>F800-21-0033-(AR 1.1)</v>
      </c>
      <c r="E231" s="3" t="str">
        <f>"I am a tiger"</f>
        <v>I am a tiger</v>
      </c>
      <c r="F231" s="3" t="str">
        <f>"by Karl Newson, illustrated by Ross Collins"</f>
        <v>by Karl Newson, illustrated by Ross Collins</v>
      </c>
      <c r="G231" s="3" t="str">
        <f>"Macmillan Children's Books"</f>
        <v>Macmillan Children's Books</v>
      </c>
      <c r="H231" s="2" t="str">
        <f>"2019"</f>
        <v>2019</v>
      </c>
      <c r="I231" s="3" t="str">
        <f>""</f>
        <v/>
      </c>
    </row>
    <row r="232" spans="1:9" x14ac:dyDescent="0.3">
      <c r="A232" s="2">
        <v>231</v>
      </c>
      <c r="B232" s="4" t="s">
        <v>12</v>
      </c>
      <c r="C232" s="3" t="str">
        <f>"TFC000004025"</f>
        <v>TFC000004025</v>
      </c>
      <c r="D232" s="3" t="str">
        <f>"F800-21-0034-(AR 1.1)"</f>
        <v>F800-21-0034-(AR 1.1)</v>
      </c>
      <c r="E232" s="3" t="str">
        <f>"Surfer chimp"</f>
        <v>Surfer chimp</v>
      </c>
      <c r="F232" s="3" t="str">
        <f>"by Alison Donald, illustrated by Gareth Robinson"</f>
        <v>by Alison Donald, illustrated by Gareth Robinson</v>
      </c>
      <c r="G232" s="3" t="str">
        <f>"Lerner Publications"</f>
        <v>Lerner Publications</v>
      </c>
      <c r="H232" s="2" t="str">
        <f>"2021"</f>
        <v>2021</v>
      </c>
      <c r="I232" s="3" t="str">
        <f>""</f>
        <v/>
      </c>
    </row>
    <row r="233" spans="1:9" x14ac:dyDescent="0.3">
      <c r="A233" s="2">
        <v>232</v>
      </c>
      <c r="B233" s="4" t="s">
        <v>12</v>
      </c>
      <c r="C233" s="3" t="str">
        <f>"TFC000004331"</f>
        <v>TFC000004331</v>
      </c>
      <c r="D233" s="3" t="str">
        <f>"F500-22-0140-(AR 1.1)"</f>
        <v>F500-22-0140-(AR 1.1)</v>
      </c>
      <c r="E233" s="3" t="str">
        <f>"From Blossom to Fruit"</f>
        <v>From Blossom to Fruit</v>
      </c>
      <c r="F233" s="3" t="str">
        <f>"by Gail Saunders-Smith"</f>
        <v>by Gail Saunders-Smith</v>
      </c>
      <c r="G233" s="3" t="str">
        <f>"Capstone Press"</f>
        <v>Capstone Press</v>
      </c>
      <c r="H233" s="2" t="str">
        <f>"2004"</f>
        <v>2004</v>
      </c>
      <c r="I233" s="3" t="str">
        <f>""</f>
        <v/>
      </c>
    </row>
    <row r="234" spans="1:9" x14ac:dyDescent="0.3">
      <c r="A234" s="2">
        <v>233</v>
      </c>
      <c r="B234" s="4" t="s">
        <v>12</v>
      </c>
      <c r="C234" s="3" t="str">
        <f>"TFC000004416"</f>
        <v>TFC000004416</v>
      </c>
      <c r="D234" s="3" t="str">
        <f>"F400-22-0225-(AR 1.1)"</f>
        <v>F400-22-0225-(AR 1.1)</v>
      </c>
      <c r="E234" s="3" t="str">
        <f>"Dolphins"</f>
        <v>Dolphins</v>
      </c>
      <c r="F234" s="3" t="str">
        <f>"by Christina Leaf"</f>
        <v>by Christina Leaf</v>
      </c>
      <c r="G234" s="3" t="str">
        <f>"Bellwether"</f>
        <v>Bellwether</v>
      </c>
      <c r="H234" s="2" t="str">
        <f>"2020"</f>
        <v>2020</v>
      </c>
      <c r="I234" s="3" t="str">
        <f>""</f>
        <v/>
      </c>
    </row>
    <row r="235" spans="1:9" x14ac:dyDescent="0.3">
      <c r="A235" s="2">
        <v>234</v>
      </c>
      <c r="B235" s="4" t="s">
        <v>12</v>
      </c>
      <c r="C235" s="3" t="str">
        <f>"TFC000004375"</f>
        <v>TFC000004375</v>
      </c>
      <c r="D235" s="3" t="str">
        <f>"F800-22-0184-(AR1.1)"</f>
        <v>F800-22-0184-(AR1.1)</v>
      </c>
      <c r="E235" s="3" t="str">
        <f>"Jump and Run"</f>
        <v>Jump and Run</v>
      </c>
      <c r="F235" s="3" t="str">
        <f>"by Grosset��dunlap"</f>
        <v>by Grosset��dunlap</v>
      </c>
      <c r="G235" s="3" t="str">
        <f>"Grosset &amp; Dunlap"</f>
        <v>Grosset &amp; Dunlap</v>
      </c>
      <c r="H235" s="2" t="str">
        <f>"1984"</f>
        <v>1984</v>
      </c>
      <c r="I235" s="2" t="s">
        <v>2</v>
      </c>
    </row>
    <row r="236" spans="1:9" x14ac:dyDescent="0.3">
      <c r="A236" s="2">
        <v>235</v>
      </c>
      <c r="B236" s="4" t="s">
        <v>12</v>
      </c>
      <c r="C236" s="3" t="str">
        <f>"TFC000004417"</f>
        <v>TFC000004417</v>
      </c>
      <c r="D236" s="3" t="str">
        <f>"F800-22-0226-(AR1.1)"</f>
        <v>F800-22-0226-(AR1.1)</v>
      </c>
      <c r="E236" s="3" t="str">
        <f>"Sun Flower Lion"</f>
        <v>Sun Flower Lion</v>
      </c>
      <c r="F236" s="3" t="str">
        <f>"by Henkes Kevin, by Kevin Henkes"</f>
        <v>by Henkes Kevin, by Kevin Henkes</v>
      </c>
      <c r="G236" s="3" t="str">
        <f>"Greenwillow Books(HarperCollins)"</f>
        <v>Greenwillow Books(HarperCollins)</v>
      </c>
      <c r="H236" s="2" t="str">
        <f>"2020"</f>
        <v>2020</v>
      </c>
      <c r="I236" s="3" t="str">
        <f>""</f>
        <v/>
      </c>
    </row>
    <row r="237" spans="1:9" x14ac:dyDescent="0.3">
      <c r="A237" s="2">
        <v>236</v>
      </c>
      <c r="B237" s="4" t="s">
        <v>13</v>
      </c>
      <c r="C237" s="3" t="str">
        <f>"TFC000000218"</f>
        <v>TFC000000218</v>
      </c>
      <c r="D237" s="3" t="str">
        <f>"F800-20-0230-(AR 1.2)"</f>
        <v>F800-20-0230-(AR 1.2)</v>
      </c>
      <c r="E237" s="3" t="str">
        <f>"(The)classroom pet"</f>
        <v>(The)classroom pet</v>
      </c>
      <c r="F237" s="3" t="str">
        <f>"by Grace Maccarone ; illustrated by Betsy Lewin"</f>
        <v>by Grace Maccarone ; illustrated by Betsy Lewin</v>
      </c>
      <c r="G237" s="3" t="str">
        <f>"Scholastic"</f>
        <v>Scholastic</v>
      </c>
      <c r="H237" s="2" t="str">
        <f>"2003"</f>
        <v>2003</v>
      </c>
      <c r="I237" s="2" t="s">
        <v>2</v>
      </c>
    </row>
    <row r="238" spans="1:9" x14ac:dyDescent="0.3">
      <c r="A238" s="2">
        <v>237</v>
      </c>
      <c r="B238" s="4" t="s">
        <v>13</v>
      </c>
      <c r="C238" s="3" t="str">
        <f>"TFC000000217"</f>
        <v>TFC000000217</v>
      </c>
      <c r="D238" s="3" t="str">
        <f>"F800-20-0229-(AR 1.2)"</f>
        <v>F800-20-0229-(AR 1.2)</v>
      </c>
      <c r="E238" s="3" t="str">
        <f>"Sealed with a kiss"</f>
        <v>Sealed with a kiss</v>
      </c>
      <c r="F238" s="3" t="str">
        <f>"by Melissa Lagonegro ; Illustrated by Elisa Marrucchi"</f>
        <v>by Melissa Lagonegro ; Illustrated by Elisa Marrucchi</v>
      </c>
      <c r="G238" s="3" t="str">
        <f>"Two Ponds"</f>
        <v>Two Ponds</v>
      </c>
      <c r="H238" s="2" t="str">
        <f>"2010"</f>
        <v>2010</v>
      </c>
      <c r="I238" s="2" t="s">
        <v>2</v>
      </c>
    </row>
    <row r="239" spans="1:9" x14ac:dyDescent="0.3">
      <c r="A239" s="2">
        <v>238</v>
      </c>
      <c r="B239" s="4" t="s">
        <v>13</v>
      </c>
      <c r="C239" s="3" t="str">
        <f>"TFC000000195"</f>
        <v>TFC000000195</v>
      </c>
      <c r="D239" s="3" t="str">
        <f>"F800-20-0207-(AR 1.2)"</f>
        <v>F800-20-0207-(AR 1.2)</v>
      </c>
      <c r="E239" s="3" t="str">
        <f>"Fred and Ted like to fly"</f>
        <v>Fred and Ted like to fly</v>
      </c>
      <c r="F239" s="3" t="str">
        <f>"by Peter Eastman"</f>
        <v>by Peter Eastman</v>
      </c>
      <c r="G239" s="3" t="str">
        <f>"Random House"</f>
        <v>Random House</v>
      </c>
      <c r="H239" s="2" t="str">
        <f>"2007"</f>
        <v>2007</v>
      </c>
      <c r="I239" s="3" t="str">
        <f>""</f>
        <v/>
      </c>
    </row>
    <row r="240" spans="1:9" x14ac:dyDescent="0.3">
      <c r="A240" s="2">
        <v>239</v>
      </c>
      <c r="B240" s="4" t="s">
        <v>13</v>
      </c>
      <c r="C240" s="3" t="str">
        <f>"TFC000000196"</f>
        <v>TFC000000196</v>
      </c>
      <c r="D240" s="3" t="str">
        <f>"F800-20-0208-(AR 1.2)"</f>
        <v>F800-20-0208-(AR 1.2)</v>
      </c>
      <c r="E240" s="3" t="str">
        <f>"Go, dog, go!"</f>
        <v>Go, dog, go!</v>
      </c>
      <c r="F240" s="3" t="str">
        <f>"by P.D. Easteman"</f>
        <v>by P.D. Easteman</v>
      </c>
      <c r="G240" s="3" t="str">
        <f>"Random House"</f>
        <v>Random House</v>
      </c>
      <c r="H240" s="2" t="str">
        <f>"1989"</f>
        <v>1989</v>
      </c>
      <c r="I240" s="3" t="str">
        <f>""</f>
        <v/>
      </c>
    </row>
    <row r="241" spans="1:9" x14ac:dyDescent="0.3">
      <c r="A241" s="2">
        <v>240</v>
      </c>
      <c r="B241" s="4" t="s">
        <v>13</v>
      </c>
      <c r="C241" s="3" t="str">
        <f>"TFC000000197"</f>
        <v>TFC000000197</v>
      </c>
      <c r="D241" s="3" t="str">
        <f>"F800-20-0209-(AR 1.2)"</f>
        <v>F800-20-0209-(AR 1.2)</v>
      </c>
      <c r="E241" s="3" t="str">
        <f>"More spaghetti, I say!"</f>
        <v>More spaghetti, I say!</v>
      </c>
      <c r="F241" s="3" t="str">
        <f>"by Rita Golden Gelman ; illustrated by Mort Gerberg"</f>
        <v>by Rita Golden Gelman ; illustrated by Mort Gerberg</v>
      </c>
      <c r="G241" s="3" t="str">
        <f>"Scholastic"</f>
        <v>Scholastic</v>
      </c>
      <c r="H241" s="2" t="str">
        <f>"2003"</f>
        <v>2003</v>
      </c>
      <c r="I241" s="3" t="str">
        <f>""</f>
        <v/>
      </c>
    </row>
    <row r="242" spans="1:9" x14ac:dyDescent="0.3">
      <c r="A242" s="2">
        <v>241</v>
      </c>
      <c r="B242" s="4" t="s">
        <v>13</v>
      </c>
      <c r="C242" s="3" t="str">
        <f>"TFC000000199"</f>
        <v>TFC000000199</v>
      </c>
      <c r="D242" s="3" t="str">
        <f>"F800-20-0211-(AR 1.2)"</f>
        <v>F800-20-0211-(AR 1.2)</v>
      </c>
      <c r="E242" s="3" t="str">
        <f>"Digby"</f>
        <v>Digby</v>
      </c>
      <c r="F242" s="3" t="str">
        <f>"story by Barbara Shook Hazen ; pictures by Barbara J. Phillips-Duke"</f>
        <v>story by Barbara Shook Hazen ; pictures by Barbara J. Phillips-Duke</v>
      </c>
      <c r="G242" s="3" t="str">
        <f>"HarperCollins Publishers"</f>
        <v>HarperCollins Publishers</v>
      </c>
      <c r="H242" s="2" t="str">
        <f>"1997"</f>
        <v>1997</v>
      </c>
      <c r="I242" s="3" t="str">
        <f>""</f>
        <v/>
      </c>
    </row>
    <row r="243" spans="1:9" x14ac:dyDescent="0.3">
      <c r="A243" s="2">
        <v>242</v>
      </c>
      <c r="B243" s="4" t="s">
        <v>13</v>
      </c>
      <c r="C243" s="3" t="str">
        <f>"TFC000000200"</f>
        <v>TFC000000200</v>
      </c>
      <c r="D243" s="3" t="str">
        <f>"F800-20-0212-(AR 1.2)"</f>
        <v>F800-20-0212-(AR 1.2)</v>
      </c>
      <c r="E243" s="3" t="str">
        <f>"We love the dirt"</f>
        <v>We love the dirt</v>
      </c>
      <c r="F243" s="3" t="str">
        <f>"by Tony Johnston ; illustrated by Alexa Brandenberg"</f>
        <v>by Tony Johnston ; illustrated by Alexa Brandenberg</v>
      </c>
      <c r="G243" s="3" t="str">
        <f>"Scholastic"</f>
        <v>Scholastic</v>
      </c>
      <c r="H243" s="2" t="str">
        <f>"1997"</f>
        <v>1997</v>
      </c>
      <c r="I243" s="3" t="str">
        <f>""</f>
        <v/>
      </c>
    </row>
    <row r="244" spans="1:9" x14ac:dyDescent="0.3">
      <c r="A244" s="2">
        <v>243</v>
      </c>
      <c r="B244" s="4" t="s">
        <v>13</v>
      </c>
      <c r="C244" s="3" t="str">
        <f>"TFC000000201"</f>
        <v>TFC000000201</v>
      </c>
      <c r="D244" s="3" t="str">
        <f>"F800-20-0213-(AR 1.2)"</f>
        <v>F800-20-0213-(AR 1.2)</v>
      </c>
      <c r="E244" s="3" t="str">
        <f>"Herman the helper"</f>
        <v>Herman the helper</v>
      </c>
      <c r="F244" s="3" t="str">
        <f>"by Robert Kraus ; pictures by Jose Aruego ; Ariane Dewey"</f>
        <v>by Robert Kraus ; pictures by Jose Aruego ; Ariane Dewey</v>
      </c>
      <c r="G244" s="3" t="str">
        <f>"Aladdin"</f>
        <v>Aladdin</v>
      </c>
      <c r="H244" s="2" t="str">
        <f>"1974"</f>
        <v>1974</v>
      </c>
      <c r="I244" s="3" t="str">
        <f>""</f>
        <v/>
      </c>
    </row>
    <row r="245" spans="1:9" x14ac:dyDescent="0.3">
      <c r="A245" s="2">
        <v>244</v>
      </c>
      <c r="B245" s="4" t="s">
        <v>13</v>
      </c>
      <c r="C245" s="3" t="str">
        <f>"TFC000000202"</f>
        <v>TFC000000202</v>
      </c>
      <c r="D245" s="3" t="str">
        <f>"F800-20-0214-(AR 1.2)"</f>
        <v>F800-20-0214-(AR 1.2)</v>
      </c>
      <c r="E245" s="3" t="str">
        <f>"Leo the late bloomer"</f>
        <v>Leo the late bloomer</v>
      </c>
      <c r="F245" s="3" t="str">
        <f>"by Robert Kraus ; Pictures by Jose Aruego"</f>
        <v>by Robert Kraus ; Pictures by Jose Aruego</v>
      </c>
      <c r="G245" s="3" t="str">
        <f>"Windmill Books"</f>
        <v>Windmill Books</v>
      </c>
      <c r="H245" s="2" t="str">
        <f>"1971"</f>
        <v>1971</v>
      </c>
      <c r="I245" s="3" t="str">
        <f>""</f>
        <v/>
      </c>
    </row>
    <row r="246" spans="1:9" x14ac:dyDescent="0.3">
      <c r="A246" s="2">
        <v>245</v>
      </c>
      <c r="B246" s="4" t="s">
        <v>13</v>
      </c>
      <c r="C246" s="3" t="str">
        <f>"TFC000000205"</f>
        <v>TFC000000205</v>
      </c>
      <c r="D246" s="3" t="str">
        <f>"F800-20-0217-(AR 1.2)"</f>
        <v>F800-20-0217-(AR 1.2)</v>
      </c>
      <c r="E246" s="3" t="str">
        <f>"Cat on the Mat"</f>
        <v>Cat on the Mat</v>
      </c>
      <c r="F246" s="3" t="str">
        <f>"by Susan Schade, Jon Buller"</f>
        <v>by Susan Schade, Jon Buller</v>
      </c>
      <c r="G246" s="3" t="str">
        <f>"Random House"</f>
        <v>Random House</v>
      </c>
      <c r="H246" s="2" t="str">
        <f>"2004"</f>
        <v>2004</v>
      </c>
      <c r="I246" s="3" t="str">
        <f>""</f>
        <v/>
      </c>
    </row>
    <row r="247" spans="1:9" x14ac:dyDescent="0.3">
      <c r="A247" s="2">
        <v>246</v>
      </c>
      <c r="B247" s="4" t="s">
        <v>13</v>
      </c>
      <c r="C247" s="3" t="str">
        <f>"TFC000000206"</f>
        <v>TFC000000206</v>
      </c>
      <c r="D247" s="3" t="str">
        <f>"F800-20-0218-(AR 1.2)"</f>
        <v>F800-20-0218-(AR 1.2)</v>
      </c>
      <c r="E247" s="3" t="str">
        <f>"Hi, Jack!"</f>
        <v>Hi, Jack!</v>
      </c>
      <c r="F247" s="3" t="str">
        <f>"Mac Barnett ; illustrated by Greg Pizzoli"</f>
        <v>Mac Barnett ; illustrated by Greg Pizzoli</v>
      </c>
      <c r="G247" s="3" t="str">
        <f>"Viking"</f>
        <v>Viking</v>
      </c>
      <c r="H247" s="2" t="str">
        <f>"2019"</f>
        <v>2019</v>
      </c>
      <c r="I247" s="3" t="str">
        <f>""</f>
        <v/>
      </c>
    </row>
    <row r="248" spans="1:9" x14ac:dyDescent="0.3">
      <c r="A248" s="2">
        <v>247</v>
      </c>
      <c r="B248" s="4" t="s">
        <v>13</v>
      </c>
      <c r="C248" s="3" t="str">
        <f>"TFC000000207"</f>
        <v>TFC000000207</v>
      </c>
      <c r="D248" s="3" t="str">
        <f>"F800-20-0219-(AR 1.2)"</f>
        <v>F800-20-0219-(AR 1.2)</v>
      </c>
      <c r="E248" s="3" t="str">
        <f>"Rain"</f>
        <v>Rain</v>
      </c>
      <c r="F248" s="3" t="str">
        <f>"Marion Dane Bauer ; illustrated by John Wallace"</f>
        <v>Marion Dane Bauer ; illustrated by John Wallace</v>
      </c>
      <c r="G248" s="3" t="str">
        <f>"Aladdin"</f>
        <v>Aladdin</v>
      </c>
      <c r="H248" s="2" t="str">
        <f>"2004"</f>
        <v>2004</v>
      </c>
      <c r="I248" s="3" t="str">
        <f>""</f>
        <v/>
      </c>
    </row>
    <row r="249" spans="1:9" x14ac:dyDescent="0.3">
      <c r="A249" s="2">
        <v>248</v>
      </c>
      <c r="B249" s="4" t="s">
        <v>13</v>
      </c>
      <c r="C249" s="3" t="str">
        <f>"TFC000000208"</f>
        <v>TFC000000208</v>
      </c>
      <c r="D249" s="3" t="str">
        <f>"F800-20-0220-(AR 1.2)"</f>
        <v>F800-20-0220-(AR 1.2)</v>
      </c>
      <c r="E249" s="3" t="str">
        <f>"I hate to be sick!"</f>
        <v>I hate to be sick!</v>
      </c>
      <c r="F249" s="3" t="str">
        <f>"Aamir Lee Bermiss ; illustrated by Ken Wilson-Max"</f>
        <v>Aamir Lee Bermiss ; illustrated by Ken Wilson-Max</v>
      </c>
      <c r="G249" s="3" t="str">
        <f>"Scholastic"</f>
        <v>Scholastic</v>
      </c>
      <c r="H249" s="2" t="str">
        <f>"2004"</f>
        <v>2004</v>
      </c>
      <c r="I249" s="3" t="str">
        <f>""</f>
        <v/>
      </c>
    </row>
    <row r="250" spans="1:9" x14ac:dyDescent="0.3">
      <c r="A250" s="2">
        <v>249</v>
      </c>
      <c r="B250" s="4" t="s">
        <v>13</v>
      </c>
      <c r="C250" s="3" t="str">
        <f>"TFC000000210"</f>
        <v>TFC000000210</v>
      </c>
      <c r="D250" s="3" t="str">
        <f>"F800-20-0222-(AR 1.2)"</f>
        <v>F800-20-0222-(AR 1.2)</v>
      </c>
      <c r="E250" s="3" t="str">
        <f>"Stick and stone"</f>
        <v>Stick and stone</v>
      </c>
      <c r="F250" s="3" t="str">
        <f>"by Beth Ferry ; illustrated by Tom Lichtenheld"</f>
        <v>by Beth Ferry ; illustrated by Tom Lichtenheld</v>
      </c>
      <c r="G250" s="3" t="str">
        <f>"Houghton Mifflin Harcourt"</f>
        <v>Houghton Mifflin Harcourt</v>
      </c>
      <c r="H250" s="2" t="str">
        <f>"2015"</f>
        <v>2015</v>
      </c>
      <c r="I250" s="3" t="str">
        <f>""</f>
        <v/>
      </c>
    </row>
    <row r="251" spans="1:9" x14ac:dyDescent="0.3">
      <c r="A251" s="2">
        <v>250</v>
      </c>
      <c r="B251" s="4" t="s">
        <v>13</v>
      </c>
      <c r="C251" s="3" t="str">
        <f>"TFC000000212"</f>
        <v>TFC000000212</v>
      </c>
      <c r="D251" s="3" t="str">
        <f>"F800-20-0224-(AR 1.2)"</f>
        <v>F800-20-0224-(AR 1.2)</v>
      </c>
      <c r="E251" s="3" t="str">
        <f>"Good luck! : a Halloween tale"</f>
        <v>Good luck! : a Halloween tale</v>
      </c>
      <c r="F251" s="3" t="str">
        <f>"by Joan Holub ; illustrated by Will Terry"</f>
        <v>by Joan Holub ; illustrated by Will Terry</v>
      </c>
      <c r="G251" s="3" t="str">
        <f>"Aladdin"</f>
        <v>Aladdin</v>
      </c>
      <c r="H251" s="2" t="str">
        <f>"2007"</f>
        <v>2007</v>
      </c>
      <c r="I251" s="3" t="str">
        <f>""</f>
        <v/>
      </c>
    </row>
    <row r="252" spans="1:9" x14ac:dyDescent="0.3">
      <c r="A252" s="2">
        <v>251</v>
      </c>
      <c r="B252" s="4" t="s">
        <v>13</v>
      </c>
      <c r="C252" s="3" t="str">
        <f>"TFC000000213"</f>
        <v>TFC000000213</v>
      </c>
      <c r="D252" s="3" t="str">
        <f>"F800-20-0225-(AR 1.2)"</f>
        <v>F800-20-0225-(AR 1.2)</v>
      </c>
      <c r="E252" s="3" t="str">
        <f>"(The)camcorder"</f>
        <v>(The)camcorder</v>
      </c>
      <c r="F252" s="3" t="str">
        <f>"written by Roderick Hunt ; illustrated by Alex Brychta"</f>
        <v>written by Roderick Hunt ; illustrated by Alex Brychta</v>
      </c>
      <c r="G252" s="3" t="str">
        <f>"Oxford University Press"</f>
        <v>Oxford University Press</v>
      </c>
      <c r="H252" s="2" t="str">
        <f>"2011"</f>
        <v>2011</v>
      </c>
      <c r="I252" s="3" t="str">
        <f>""</f>
        <v/>
      </c>
    </row>
    <row r="253" spans="1:9" x14ac:dyDescent="0.3">
      <c r="A253" s="2">
        <v>252</v>
      </c>
      <c r="B253" s="4" t="s">
        <v>13</v>
      </c>
      <c r="C253" s="3" t="str">
        <f>"TFC000000214"</f>
        <v>TFC000000214</v>
      </c>
      <c r="D253" s="3" t="str">
        <f>"F800-20-0226-(AR 1.2)"</f>
        <v>F800-20-0226-(AR 1.2)</v>
      </c>
      <c r="E253" s="3" t="str">
        <f>"(The)dragon dance"</f>
        <v>(The)dragon dance</v>
      </c>
      <c r="F253" s="3" t="str">
        <f>"written by Roderick Hunt ; illustrated by Alex Brychta"</f>
        <v>written by Roderick Hunt ; illustrated by Alex Brychta</v>
      </c>
      <c r="G253" s="3" t="str">
        <f>"Oxford University Press"</f>
        <v>Oxford University Press</v>
      </c>
      <c r="H253" s="2" t="str">
        <f>"2011"</f>
        <v>2011</v>
      </c>
      <c r="I253" s="3" t="str">
        <f>""</f>
        <v/>
      </c>
    </row>
    <row r="254" spans="1:9" x14ac:dyDescent="0.3">
      <c r="A254" s="2">
        <v>253</v>
      </c>
      <c r="B254" s="4" t="s">
        <v>13</v>
      </c>
      <c r="C254" s="3" t="str">
        <f>"TFC000000215"</f>
        <v>TFC000000215</v>
      </c>
      <c r="D254" s="3" t="str">
        <f>"F800-20-0227-(AR 1.2)"</f>
        <v>F800-20-0227-(AR 1.2)</v>
      </c>
      <c r="E254" s="3" t="str">
        <f>"(The)dragon tree"</f>
        <v>(The)dragon tree</v>
      </c>
      <c r="F254" s="3" t="str">
        <f>"written by Roderick Hunt ; illustrated by Alex Brychta"</f>
        <v>written by Roderick Hunt ; illustrated by Alex Brychta</v>
      </c>
      <c r="G254" s="3" t="str">
        <f>"Oxford University Press"</f>
        <v>Oxford University Press</v>
      </c>
      <c r="H254" s="2" t="str">
        <f>"2011"</f>
        <v>2011</v>
      </c>
      <c r="I254" s="3" t="str">
        <f>""</f>
        <v/>
      </c>
    </row>
    <row r="255" spans="1:9" x14ac:dyDescent="0.3">
      <c r="A255" s="2">
        <v>254</v>
      </c>
      <c r="B255" s="4" t="s">
        <v>13</v>
      </c>
      <c r="C255" s="3" t="str">
        <f>"TFC000000216"</f>
        <v>TFC000000216</v>
      </c>
      <c r="D255" s="3" t="str">
        <f>"F800-20-0228-(AR 1.2)"</f>
        <v>F800-20-0228-(AR 1.2)</v>
      </c>
      <c r="E255" s="3" t="str">
        <f>"(The)weather vane"</f>
        <v>(The)weather vane</v>
      </c>
      <c r="F255" s="3" t="str">
        <f>"written by Roderick Hunt ; illustrated by Alex Brychta"</f>
        <v>written by Roderick Hunt ; illustrated by Alex Brychta</v>
      </c>
      <c r="G255" s="3" t="str">
        <f>"Oxford University Press"</f>
        <v>Oxford University Press</v>
      </c>
      <c r="H255" s="2" t="str">
        <f>"2011"</f>
        <v>2011</v>
      </c>
      <c r="I255" s="3" t="str">
        <f>""</f>
        <v/>
      </c>
    </row>
    <row r="256" spans="1:9" x14ac:dyDescent="0.3">
      <c r="A256" s="2">
        <v>255</v>
      </c>
      <c r="B256" s="4" t="s">
        <v>13</v>
      </c>
      <c r="C256" s="3" t="str">
        <f>"TFC000000219"</f>
        <v>TFC000000219</v>
      </c>
      <c r="D256" s="3" t="str">
        <f>"F800-20-0231-(AR 1.2)"</f>
        <v>F800-20-0231-(AR 1.2)</v>
      </c>
      <c r="E256" s="3" t="str">
        <f>"Monster money"</f>
        <v>Monster money</v>
      </c>
      <c r="F256" s="3" t="str">
        <f>"by Grace Maccarone ; illustrated by Marte Hartelius"</f>
        <v>by Grace Maccarone ; illustrated by Marte Hartelius</v>
      </c>
      <c r="G256" s="3" t="str">
        <f>"Scholastic"</f>
        <v>Scholastic</v>
      </c>
      <c r="H256" s="2" t="str">
        <f>"1998"</f>
        <v>1998</v>
      </c>
      <c r="I256" s="3" t="str">
        <f>""</f>
        <v/>
      </c>
    </row>
    <row r="257" spans="1:9" x14ac:dyDescent="0.3">
      <c r="A257" s="2">
        <v>256</v>
      </c>
      <c r="B257" s="4" t="s">
        <v>13</v>
      </c>
      <c r="C257" s="3" t="str">
        <f>"TFC000000220"</f>
        <v>TFC000000220</v>
      </c>
      <c r="D257" s="3" t="str">
        <f>"F800-20-0232-(AR 1.2)"</f>
        <v>F800-20-0232-(AR 1.2)</v>
      </c>
      <c r="E257" s="3" t="str">
        <f>"(The)Old truck"</f>
        <v>(The)Old truck</v>
      </c>
      <c r="F257" s="3" t="str">
        <f>"Jarrett Pumphrey, Jerome Pumphrey"</f>
        <v>Jarrett Pumphrey, Jerome Pumphrey</v>
      </c>
      <c r="G257" s="3" t="str">
        <f>"Norton Young Readers"</f>
        <v>Norton Young Readers</v>
      </c>
      <c r="H257" s="2" t="str">
        <f>"2020"</f>
        <v>2020</v>
      </c>
      <c r="I257" s="3" t="str">
        <f>""</f>
        <v/>
      </c>
    </row>
    <row r="258" spans="1:9" x14ac:dyDescent="0.3">
      <c r="A258" s="2">
        <v>257</v>
      </c>
      <c r="B258" s="4" t="s">
        <v>13</v>
      </c>
      <c r="C258" s="3" t="str">
        <f>"TFC000000221"</f>
        <v>TFC000000221</v>
      </c>
      <c r="D258" s="3" t="str">
        <f>"F800-20-0233-(AR 1.2)"</f>
        <v>F800-20-0233-(AR 1.2)</v>
      </c>
      <c r="E258" s="3" t="str">
        <f>"Turtle and Snake's day at the beach"</f>
        <v>Turtle and Snake's day at the beach</v>
      </c>
      <c r="F258" s="3" t="str">
        <f>"by Kate Spohn"</f>
        <v>by Kate Spohn</v>
      </c>
      <c r="G258" s="3" t="str">
        <f>"Penguin Young Readers"</f>
        <v>Penguin Young Readers</v>
      </c>
      <c r="H258" s="2" t="str">
        <f>"2013"</f>
        <v>2013</v>
      </c>
      <c r="I258" s="3" t="str">
        <f>""</f>
        <v/>
      </c>
    </row>
    <row r="259" spans="1:9" x14ac:dyDescent="0.3">
      <c r="A259" s="2">
        <v>258</v>
      </c>
      <c r="B259" s="4" t="s">
        <v>13</v>
      </c>
      <c r="C259" s="3" t="str">
        <f>"TFC000000222"</f>
        <v>TFC000000222</v>
      </c>
      <c r="D259" s="3" t="str">
        <f>"F800-20-0234-(AR 1.2)"</f>
        <v>F800-20-0234-(AR 1.2)</v>
      </c>
      <c r="E259" s="3" t="str">
        <f>"I will take a nap!"</f>
        <v>I will take a nap!</v>
      </c>
      <c r="F259" s="3" t="str">
        <f>"by Mo Willems"</f>
        <v>by Mo Willems</v>
      </c>
      <c r="G259" s="3" t="str">
        <f>"Hyperion Books for Children"</f>
        <v>Hyperion Books for Children</v>
      </c>
      <c r="H259" s="2" t="str">
        <f>"2015"</f>
        <v>2015</v>
      </c>
      <c r="I259" s="3" t="str">
        <f>""</f>
        <v/>
      </c>
    </row>
    <row r="260" spans="1:9" x14ac:dyDescent="0.3">
      <c r="A260" s="2">
        <v>259</v>
      </c>
      <c r="B260" s="4" t="s">
        <v>13</v>
      </c>
      <c r="C260" s="3" t="str">
        <f>"TFC000002821"</f>
        <v>TFC000002821</v>
      </c>
      <c r="D260" s="3" t="str">
        <f>"F800-20-0235-(AR 1.2)"</f>
        <v>F800-20-0235-(AR 1.2)</v>
      </c>
      <c r="E260" s="3" t="str">
        <f>"Boy + bot"</f>
        <v>Boy + bot</v>
      </c>
      <c r="F260" s="3" t="str">
        <f>"by Ame Dyckman ; illustrated by Dan Yaccarino"</f>
        <v>by Ame Dyckman ; illustrated by Dan Yaccarino</v>
      </c>
      <c r="G260" s="3" t="str">
        <f>"Alfred A. Knopf"</f>
        <v>Alfred A. Knopf</v>
      </c>
      <c r="H260" s="2" t="str">
        <f>"2012"</f>
        <v>2012</v>
      </c>
      <c r="I260" s="3" t="str">
        <f>""</f>
        <v/>
      </c>
    </row>
    <row r="261" spans="1:9" x14ac:dyDescent="0.3">
      <c r="A261" s="2">
        <v>260</v>
      </c>
      <c r="B261" s="4" t="s">
        <v>13</v>
      </c>
      <c r="C261" s="3" t="str">
        <f>"TFC000002822"</f>
        <v>TFC000002822</v>
      </c>
      <c r="D261" s="3" t="str">
        <f>"F800-20-0236-(AR 1.2)"</f>
        <v>F800-20-0236-(AR 1.2)</v>
      </c>
      <c r="E261" s="3" t="str">
        <f>"Hondo &amp; Fabian"</f>
        <v>Hondo &amp; Fabian</v>
      </c>
      <c r="F261" s="3" t="str">
        <f>"written and illustrated by Peter McCarty"</f>
        <v>written and illustrated by Peter McCarty</v>
      </c>
      <c r="G261" s="3" t="str">
        <f>"Square Fish"</f>
        <v>Square Fish</v>
      </c>
      <c r="H261" s="2" t="str">
        <f>"2007"</f>
        <v>2007</v>
      </c>
      <c r="I261" s="3" t="str">
        <f>""</f>
        <v/>
      </c>
    </row>
    <row r="262" spans="1:9" x14ac:dyDescent="0.3">
      <c r="A262" s="2">
        <v>261</v>
      </c>
      <c r="B262" s="4" t="s">
        <v>13</v>
      </c>
      <c r="C262" s="3" t="str">
        <f>"TFC000003075"</f>
        <v>TFC000003075</v>
      </c>
      <c r="D262" s="3" t="str">
        <f>"F800-20-0237-(AR 1.2)"</f>
        <v>F800-20-0237-(AR 1.2)</v>
      </c>
      <c r="E262" s="3" t="str">
        <f>"BooBoo"</f>
        <v>BooBoo</v>
      </c>
      <c r="F262" s="3" t="str">
        <f>"Olivier Dunrea"</f>
        <v>Olivier Dunrea</v>
      </c>
      <c r="G262" s="3" t="str">
        <f>"Houghton Mifflin Harcourt"</f>
        <v>Houghton Mifflin Harcourt</v>
      </c>
      <c r="H262" s="2" t="str">
        <f>"2004"</f>
        <v>2004</v>
      </c>
      <c r="I262" s="3" t="str">
        <f>""</f>
        <v/>
      </c>
    </row>
    <row r="263" spans="1:9" x14ac:dyDescent="0.3">
      <c r="A263" s="2">
        <v>262</v>
      </c>
      <c r="B263" s="4" t="s">
        <v>13</v>
      </c>
      <c r="C263" s="3" t="str">
        <f>"TFC000003142"</f>
        <v>TFC000003142</v>
      </c>
      <c r="D263" s="3" t="str">
        <f>"F800-20-0238-(AR 1.2)"</f>
        <v>F800-20-0238-(AR 1.2)</v>
      </c>
      <c r="E263" s="3" t="str">
        <f>"Pete's big lunch"</f>
        <v>Pete's big lunch</v>
      </c>
      <c r="F263" s="3" t="str">
        <f>"by James Dean"</f>
        <v>by James Dean</v>
      </c>
      <c r="G263" s="3" t="str">
        <f>"Harper"</f>
        <v>Harper</v>
      </c>
      <c r="H263" s="2" t="str">
        <f>"2013"</f>
        <v>2013</v>
      </c>
      <c r="I263" s="3" t="str">
        <f>""</f>
        <v/>
      </c>
    </row>
    <row r="264" spans="1:9" x14ac:dyDescent="0.3">
      <c r="A264" s="2">
        <v>263</v>
      </c>
      <c r="B264" s="4" t="s">
        <v>13</v>
      </c>
      <c r="C264" s="3" t="str">
        <f>"TFC000003192"</f>
        <v>TFC000003192</v>
      </c>
      <c r="D264" s="3" t="str">
        <f>"F800-21-0039-(AR 1.2)"</f>
        <v>F800-21-0039-(AR 1.2)</v>
      </c>
      <c r="E264" s="3" t="str">
        <f>"Happy halloween, Biscuit!"</f>
        <v>Happy halloween, Biscuit!</v>
      </c>
      <c r="F264" s="3" t="str">
        <f>"story by Alyssa Satin Capucilli ; pictures by Pat Schories"</f>
        <v>story by Alyssa Satin Capucilli ; pictures by Pat Schories</v>
      </c>
      <c r="G264" s="3" t="str">
        <f>"HarperFestival"</f>
        <v>HarperFestival</v>
      </c>
      <c r="H264" s="2" t="str">
        <f>"1999"</f>
        <v>1999</v>
      </c>
      <c r="I264" s="3" t="str">
        <f>""</f>
        <v/>
      </c>
    </row>
    <row r="265" spans="1:9" x14ac:dyDescent="0.3">
      <c r="A265" s="2">
        <v>264</v>
      </c>
      <c r="B265" s="4" t="s">
        <v>13</v>
      </c>
      <c r="C265" s="3" t="str">
        <f>"TFC000003817"</f>
        <v>TFC000003817</v>
      </c>
      <c r="D265" s="3" t="str">
        <f>"F800-21-0038-(AR 1.2)"</f>
        <v>F800-21-0038-(AR 1.2)</v>
      </c>
      <c r="E265" s="3" t="str">
        <f>"Biscuit and the little llamas"</f>
        <v>Biscuit and the little llamas</v>
      </c>
      <c r="F265" s="3" t="str">
        <f>"story by Alyssa Satin Capucilli, pictures by Rose Mary Berlin"</f>
        <v>story by Alyssa Satin Capucilli, pictures by Rose Mary Berlin</v>
      </c>
      <c r="G265" s="3" t="str">
        <f>"Harper"</f>
        <v>Harper</v>
      </c>
      <c r="H265" s="2" t="str">
        <f>"2021"</f>
        <v>2021</v>
      </c>
      <c r="I265" s="3" t="str">
        <f>""</f>
        <v/>
      </c>
    </row>
    <row r="266" spans="1:9" x14ac:dyDescent="0.3">
      <c r="A266" s="2">
        <v>265</v>
      </c>
      <c r="B266" s="4" t="s">
        <v>13</v>
      </c>
      <c r="C266" s="3" t="str">
        <f>"TFC000003698"</f>
        <v>TFC000003698</v>
      </c>
      <c r="D266" s="3" t="str">
        <f>"F800-21-0037-(AR 1.2)"</f>
        <v>F800-21-0037-(AR 1.2)</v>
      </c>
      <c r="E266" s="3" t="str">
        <f>"(The)Lion king : Nala and Simba"</f>
        <v>(The)Lion king : Nala and Simba</v>
      </c>
      <c r="F266" s="3" t="str">
        <f>"by Mary Tillworth ; illustrated by the Disney Storybook Art Team"</f>
        <v>by Mary Tillworth ; illustrated by the Disney Storybook Art Team</v>
      </c>
      <c r="G266" s="3" t="str">
        <f>"Random House"</f>
        <v>Random House</v>
      </c>
      <c r="H266" s="2" t="str">
        <f>"2019"</f>
        <v>2019</v>
      </c>
      <c r="I266" s="3" t="str">
        <f>""</f>
        <v/>
      </c>
    </row>
    <row r="267" spans="1:9" x14ac:dyDescent="0.3">
      <c r="A267" s="2">
        <v>266</v>
      </c>
      <c r="B267" s="4" t="s">
        <v>13</v>
      </c>
      <c r="C267" s="3" t="str">
        <f>"TFC000004332"</f>
        <v>TFC000004332</v>
      </c>
      <c r="D267" s="3" t="str">
        <f>"F800-22-0141-(AR 1.2)"</f>
        <v>F800-22-0141-(AR 1.2)</v>
      </c>
      <c r="E267" s="3" t="str">
        <f>"Ninja! attack of the clan"</f>
        <v>Ninja! attack of the clan</v>
      </c>
      <c r="F267" s="3" t="str">
        <f>"by Arree Chung"</f>
        <v>by Arree Chung</v>
      </c>
      <c r="G267" s="3" t="str">
        <f>"Henry Holt and Company"</f>
        <v>Henry Holt and Company</v>
      </c>
      <c r="H267" s="2" t="str">
        <f>"2016"</f>
        <v>2016</v>
      </c>
      <c r="I267" s="3" t="str">
        <f>""</f>
        <v/>
      </c>
    </row>
    <row r="268" spans="1:9" x14ac:dyDescent="0.3">
      <c r="A268" s="2">
        <v>267</v>
      </c>
      <c r="B268" s="4" t="s">
        <v>13</v>
      </c>
      <c r="C268" s="3" t="str">
        <f>"TFC000004333"</f>
        <v>TFC000004333</v>
      </c>
      <c r="D268" s="3" t="str">
        <f>"F300-22-0142-(AR 1.2)"</f>
        <v>F300-22-0142-(AR 1.2)</v>
      </c>
      <c r="E268" s="3" t="str">
        <f>"From bud to blossom"</f>
        <v>From bud to blossom</v>
      </c>
      <c r="F268" s="3" t="str">
        <f>"by Gail Saunders-smith"</f>
        <v>by Gail Saunders-smith</v>
      </c>
      <c r="G268" s="3" t="str">
        <f>"Pebble Books"</f>
        <v>Pebble Books</v>
      </c>
      <c r="H268" s="2" t="str">
        <f>"2004"</f>
        <v>2004</v>
      </c>
      <c r="I268" s="3" t="str">
        <f>""</f>
        <v/>
      </c>
    </row>
    <row r="269" spans="1:9" x14ac:dyDescent="0.3">
      <c r="A269" s="2">
        <v>268</v>
      </c>
      <c r="B269" s="4" t="s">
        <v>13</v>
      </c>
      <c r="C269" s="3" t="str">
        <f>"TFC000004643"</f>
        <v>TFC000004643</v>
      </c>
      <c r="D269" s="3" t="str">
        <f>"F800-22-0452-(AR1.2)"</f>
        <v>F800-22-0452-(AR1.2)</v>
      </c>
      <c r="E269" s="3" t="str">
        <f>"You're missing it!"</f>
        <v>You're missing it!</v>
      </c>
      <c r="F269" s="3" t="str">
        <f>"written by Brady Smith and Tiffani Thiessen, illustrated by Brady Smith"</f>
        <v>written by Brady Smith and Tiffani Thiessen, illustrated by Brady Smith</v>
      </c>
      <c r="G269" s="3" t="str">
        <f>"Nancy Paulsen Books"</f>
        <v>Nancy Paulsen Books</v>
      </c>
      <c r="H269" s="2" t="str">
        <f>"2019"</f>
        <v>2019</v>
      </c>
      <c r="I269" s="3" t="str">
        <f>""</f>
        <v/>
      </c>
    </row>
    <row r="270" spans="1:9" x14ac:dyDescent="0.3">
      <c r="A270" s="2">
        <v>269</v>
      </c>
      <c r="B270" s="4" t="s">
        <v>13</v>
      </c>
      <c r="C270" s="3" t="str">
        <f>"TFC000004916"</f>
        <v>TFC000004916</v>
      </c>
      <c r="D270" s="3" t="str">
        <f>"F800-23-0020-(AR1.2)"</f>
        <v>F800-23-0020-(AR1.2)</v>
      </c>
      <c r="E270" s="3" t="str">
        <f>"Who Is the Beast?"</f>
        <v>Who Is the Beast?</v>
      </c>
      <c r="F270" s="3" t="str">
        <f>"by Keith Baker"</f>
        <v>by Keith Baker</v>
      </c>
      <c r="G270" s="3" t="str">
        <f>"Voyager Books"</f>
        <v>Voyager Books</v>
      </c>
      <c r="H270" s="2" t="str">
        <f>"1990"</f>
        <v>1990</v>
      </c>
      <c r="I270" s="3" t="str">
        <f>""</f>
        <v/>
      </c>
    </row>
    <row r="271" spans="1:9" x14ac:dyDescent="0.3">
      <c r="A271" s="2">
        <v>270</v>
      </c>
      <c r="B271" s="4" t="s">
        <v>13</v>
      </c>
      <c r="C271" s="3" t="str">
        <f>"TFC000004911"</f>
        <v>TFC000004911</v>
      </c>
      <c r="D271" s="3" t="str">
        <f>"F800-23-0015-(AR1.2)"</f>
        <v>F800-23-0015-(AR1.2)</v>
      </c>
      <c r="E271" s="3" t="str">
        <f>"Biscuit goes camping"</f>
        <v>Biscuit goes camping</v>
      </c>
      <c r="F271" s="3" t="str">
        <f>"by Alyssa Satin Capucilli, pictures by Pat Schories"</f>
        <v>by Alyssa Satin Capucilli, pictures by Pat Schories</v>
      </c>
      <c r="G271" s="3" t="str">
        <f>"HarperCollins"</f>
        <v>HarperCollins</v>
      </c>
      <c r="H271" s="2" t="str">
        <f>"2006"</f>
        <v>2006</v>
      </c>
      <c r="I271" s="3" t="str">
        <f>""</f>
        <v/>
      </c>
    </row>
    <row r="272" spans="1:9" x14ac:dyDescent="0.3">
      <c r="A272" s="2">
        <v>271</v>
      </c>
      <c r="B272" s="4" t="s">
        <v>13</v>
      </c>
      <c r="C272" s="3" t="str">
        <f>"TFC000004418"</f>
        <v>TFC000004418</v>
      </c>
      <c r="D272" s="3" t="str">
        <f>"F400-22-0227-(AR1.2)"</f>
        <v>F400-22-0227-(AR1.2)</v>
      </c>
      <c r="E272" s="3" t="str">
        <f>"Jellyfish"</f>
        <v>Jellyfish</v>
      </c>
      <c r="F272" s="3" t="str">
        <f>"by Derek Zobel"</f>
        <v>by Derek Zobel</v>
      </c>
      <c r="G272" s="3" t="str">
        <f>"Bellwether"</f>
        <v>Bellwether</v>
      </c>
      <c r="H272" s="2" t="str">
        <f>"2020"</f>
        <v>2020</v>
      </c>
      <c r="I272" s="3" t="str">
        <f>""</f>
        <v/>
      </c>
    </row>
    <row r="273" spans="1:9" x14ac:dyDescent="0.3">
      <c r="A273" s="2">
        <v>272</v>
      </c>
      <c r="B273" s="4" t="s">
        <v>13</v>
      </c>
      <c r="C273" s="3" t="str">
        <f>"TFC000004419"</f>
        <v>TFC000004419</v>
      </c>
      <c r="D273" s="3" t="str">
        <f>"F400-22-0228-(AR1.2)"</f>
        <v>F400-22-0228-(AR1.2)</v>
      </c>
      <c r="E273" s="3" t="str">
        <f>"Octopuses"</f>
        <v>Octopuses</v>
      </c>
      <c r="F273" s="3" t="str">
        <f>"by Derek Zobel"</f>
        <v>by Derek Zobel</v>
      </c>
      <c r="G273" s="3" t="str">
        <f>"Bellwether"</f>
        <v>Bellwether</v>
      </c>
      <c r="H273" s="2" t="str">
        <f>"2020"</f>
        <v>2020</v>
      </c>
      <c r="I273" s="3" t="str">
        <f>""</f>
        <v/>
      </c>
    </row>
    <row r="274" spans="1:9" x14ac:dyDescent="0.3">
      <c r="A274" s="2">
        <v>273</v>
      </c>
      <c r="B274" s="4" t="s">
        <v>14</v>
      </c>
      <c r="C274" s="3" t="str">
        <f>"TFC000000224"</f>
        <v>TFC000000224</v>
      </c>
      <c r="D274" s="3" t="str">
        <f>"F800-20-0240-(AR 1.3)"</f>
        <v>F800-20-0240-(AR 1.3)</v>
      </c>
      <c r="E274" s="3" t="str">
        <f>"Sunshine, moonshine"</f>
        <v>Sunshine, moonshine</v>
      </c>
      <c r="F274" s="3" t="str">
        <f>"by Jennifer Armstrong ; illustrated by Lucia Washburn"</f>
        <v>by Jennifer Armstrong ; illustrated by Lucia Washburn</v>
      </c>
      <c r="G274" s="3" t="str">
        <f>"Random House"</f>
        <v>Random House</v>
      </c>
      <c r="H274" s="2" t="str">
        <f>"1997"</f>
        <v>1997</v>
      </c>
      <c r="I274" s="3" t="str">
        <f>""</f>
        <v/>
      </c>
    </row>
    <row r="275" spans="1:9" x14ac:dyDescent="0.3">
      <c r="A275" s="2">
        <v>274</v>
      </c>
      <c r="B275" s="4" t="s">
        <v>14</v>
      </c>
      <c r="C275" s="3" t="str">
        <f>"TFC000000225"</f>
        <v>TFC000000225</v>
      </c>
      <c r="D275" s="3" t="str">
        <f>"F800-20-0241-(AR 1.3)"</f>
        <v>F800-20-0241-(AR 1.3)</v>
      </c>
      <c r="E275" s="3" t="str">
        <f>"Ten, nine, eight"</f>
        <v>Ten, nine, eight</v>
      </c>
      <c r="F275" s="3" t="str">
        <f>"Molly Bang"</f>
        <v>Molly Bang</v>
      </c>
      <c r="G275" s="3" t="str">
        <f>"Greenwillow Books"</f>
        <v>Greenwillow Books</v>
      </c>
      <c r="H275" s="2" t="str">
        <f>"1983"</f>
        <v>1983</v>
      </c>
      <c r="I275" s="3" t="str">
        <f>""</f>
        <v/>
      </c>
    </row>
    <row r="276" spans="1:9" x14ac:dyDescent="0.3">
      <c r="A276" s="2">
        <v>275</v>
      </c>
      <c r="B276" s="4" t="s">
        <v>14</v>
      </c>
      <c r="C276" s="3" t="str">
        <f>"TFC000000226"</f>
        <v>TFC000000226</v>
      </c>
      <c r="D276" s="3" t="str">
        <f>"F800-20-0242-(AR 1.3)"</f>
        <v>F800-20-0242-(AR 1.3)</v>
      </c>
      <c r="E276" s="3" t="str">
        <f>"Bear's busy family"</f>
        <v>Bear's busy family</v>
      </c>
      <c r="F276" s="3" t="str">
        <f>"written by Stella Blackstone ; illustrated by Debbie Harter"</f>
        <v>written by Stella Blackstone ; illustrated by Debbie Harter</v>
      </c>
      <c r="G276" s="3" t="str">
        <f>"Barefoot Books"</f>
        <v>Barefoot Books</v>
      </c>
      <c r="H276" s="2" t="str">
        <f>"2002"</f>
        <v>2002</v>
      </c>
      <c r="I276" s="3" t="str">
        <f>""</f>
        <v/>
      </c>
    </row>
    <row r="277" spans="1:9" x14ac:dyDescent="0.3">
      <c r="A277" s="2">
        <v>276</v>
      </c>
      <c r="B277" s="4" t="s">
        <v>14</v>
      </c>
      <c r="C277" s="3" t="str">
        <f>"TFC000000227"</f>
        <v>TFC000000227</v>
      </c>
      <c r="D277" s="3" t="str">
        <f>"F800-20-0243-(AR 1.3)"</f>
        <v>F800-20-0243-(AR 1.3)</v>
      </c>
      <c r="E277" s="3" t="str">
        <f>"Willy the champ"</f>
        <v>Willy the champ</v>
      </c>
      <c r="F277" s="3" t="str">
        <f>"Anthony Browne"</f>
        <v>Anthony Browne</v>
      </c>
      <c r="G277" s="3" t="str">
        <f>"Walker Books"</f>
        <v>Walker Books</v>
      </c>
      <c r="H277" s="2" t="str">
        <f>"2008"</f>
        <v>2008</v>
      </c>
      <c r="I277" s="3" t="str">
        <f>""</f>
        <v/>
      </c>
    </row>
    <row r="278" spans="1:9" x14ac:dyDescent="0.3">
      <c r="A278" s="2">
        <v>277</v>
      </c>
      <c r="B278" s="4" t="s">
        <v>14</v>
      </c>
      <c r="C278" s="3" t="str">
        <f>"TFC000000228"</f>
        <v>TFC000000228</v>
      </c>
      <c r="D278" s="3" t="str">
        <f>"F800-20-0244-(AR 1.3)"</f>
        <v>F800-20-0244-(AR 1.3)</v>
      </c>
      <c r="E278" s="3" t="str">
        <f>"(The)very busy spider"</f>
        <v>(The)very busy spider</v>
      </c>
      <c r="F278" s="3" t="str">
        <f>"Eric Carle"</f>
        <v>Eric Carle</v>
      </c>
      <c r="G278" s="3" t="str">
        <f>"Philomel Books"</f>
        <v>Philomel Books</v>
      </c>
      <c r="H278" s="2" t="str">
        <f>"1984"</f>
        <v>1984</v>
      </c>
      <c r="I278" s="3" t="str">
        <f>""</f>
        <v/>
      </c>
    </row>
    <row r="279" spans="1:9" x14ac:dyDescent="0.3">
      <c r="A279" s="2">
        <v>278</v>
      </c>
      <c r="B279" s="4" t="s">
        <v>14</v>
      </c>
      <c r="C279" s="3" t="str">
        <f>"TFC000000229"</f>
        <v>TFC000000229</v>
      </c>
      <c r="D279" s="3" t="str">
        <f>"F800-20-0245-(AR 1.3)"</f>
        <v>F800-20-0245-(AR 1.3)</v>
      </c>
      <c r="E279" s="3" t="str">
        <f>"Sail away"</f>
        <v>Sail away</v>
      </c>
      <c r="F279" s="3" t="str">
        <f>"by Donald Crews"</f>
        <v>by Donald Crews</v>
      </c>
      <c r="G279" s="3" t="str">
        <f>"Greenwillow books"</f>
        <v>Greenwillow books</v>
      </c>
      <c r="H279" s="2" t="str">
        <f>"1995"</f>
        <v>1995</v>
      </c>
      <c r="I279" s="3" t="str">
        <f>""</f>
        <v/>
      </c>
    </row>
    <row r="280" spans="1:9" x14ac:dyDescent="0.3">
      <c r="A280" s="2">
        <v>279</v>
      </c>
      <c r="B280" s="4" t="s">
        <v>14</v>
      </c>
      <c r="C280" s="3" t="str">
        <f>"TFC000000230"</f>
        <v>TFC000000230</v>
      </c>
      <c r="D280" s="3" t="str">
        <f>"F800-20-0246-(AR 1.3)"</f>
        <v>F800-20-0246-(AR 1.3)</v>
      </c>
      <c r="E280" s="3" t="str">
        <f>"Snowballs"</f>
        <v>Snowballs</v>
      </c>
      <c r="F280" s="3" t="str">
        <f>"Lois Ehlert"</f>
        <v>Lois Ehlert</v>
      </c>
      <c r="G280" s="3" t="str">
        <f>"Harcourt"</f>
        <v>Harcourt</v>
      </c>
      <c r="H280" s="2" t="str">
        <f>"1995"</f>
        <v>1995</v>
      </c>
      <c r="I280" s="3" t="str">
        <f>""</f>
        <v/>
      </c>
    </row>
    <row r="281" spans="1:9" x14ac:dyDescent="0.3">
      <c r="A281" s="2">
        <v>280</v>
      </c>
      <c r="B281" s="4" t="s">
        <v>14</v>
      </c>
      <c r="C281" s="3" t="str">
        <f>"TFC000000232"</f>
        <v>TFC000000232</v>
      </c>
      <c r="D281" s="3" t="str">
        <f>"F800-20-0248-(AR 1.3)"</f>
        <v>F800-20-0248-(AR 1.3)</v>
      </c>
      <c r="E281" s="3" t="str">
        <f>"Bark, George"</f>
        <v>Bark, George</v>
      </c>
      <c r="F281" s="3" t="str">
        <f>"Jules Feiffer"</f>
        <v>Jules Feiffer</v>
      </c>
      <c r="G281" s="3" t="str">
        <f>"HarperCollins Publishers"</f>
        <v>HarperCollins Publishers</v>
      </c>
      <c r="H281" s="2" t="str">
        <f>"1999"</f>
        <v>1999</v>
      </c>
      <c r="I281" s="3" t="str">
        <f>""</f>
        <v/>
      </c>
    </row>
    <row r="282" spans="1:9" x14ac:dyDescent="0.3">
      <c r="A282" s="2">
        <v>281</v>
      </c>
      <c r="B282" s="4" t="s">
        <v>14</v>
      </c>
      <c r="C282" s="3" t="str">
        <f>"TFC000000233"</f>
        <v>TFC000000233</v>
      </c>
      <c r="D282" s="3" t="str">
        <f>"F800-20-0249-(AR 1.3)"</f>
        <v>F800-20-0249-(AR 1.3)</v>
      </c>
      <c r="E282" s="3" t="str">
        <f>"(The)chick and the duckling"</f>
        <v>(The)chick and the duckling</v>
      </c>
      <c r="F282" s="3" t="str">
        <f>"by Mirra Ginsburg ; pictures by Jose Aruego, Ariane Dewey"</f>
        <v>by Mirra Ginsburg ; pictures by Jose Aruego, Ariane Dewey</v>
      </c>
      <c r="G282" s="3" t="str">
        <f>"Aladdin:JYbooks"</f>
        <v>Aladdin:JYbooks</v>
      </c>
      <c r="H282" s="2" t="str">
        <f>"1988"</f>
        <v>1988</v>
      </c>
      <c r="I282" s="3" t="str">
        <f>""</f>
        <v/>
      </c>
    </row>
    <row r="283" spans="1:9" x14ac:dyDescent="0.3">
      <c r="A283" s="2">
        <v>282</v>
      </c>
      <c r="B283" s="4" t="s">
        <v>14</v>
      </c>
      <c r="C283" s="3" t="str">
        <f>"TFC000000234"</f>
        <v>TFC000000234</v>
      </c>
      <c r="D283" s="3" t="str">
        <f>"F800-20-0250-(AR 1.3)"</f>
        <v>F800-20-0250-(AR 1.3)</v>
      </c>
      <c r="E283" s="3" t="str">
        <f>"(The)happy day"</f>
        <v>(The)happy day</v>
      </c>
      <c r="F283" s="3" t="str">
        <f>"by Ruth Krauss ; pictures by Marc Simont"</f>
        <v>by Ruth Krauss ; pictures by Marc Simont</v>
      </c>
      <c r="G283" s="3" t="str">
        <f>"HarperCollins"</f>
        <v>HarperCollins</v>
      </c>
      <c r="H283" s="2" t="str">
        <f>"1949"</f>
        <v>1949</v>
      </c>
      <c r="I283" s="3" t="str">
        <f>""</f>
        <v/>
      </c>
    </row>
    <row r="284" spans="1:9" x14ac:dyDescent="0.3">
      <c r="A284" s="2">
        <v>283</v>
      </c>
      <c r="B284" s="4" t="s">
        <v>14</v>
      </c>
      <c r="C284" s="3" t="str">
        <f>"TFC000000235"</f>
        <v>TFC000000235</v>
      </c>
      <c r="D284" s="3" t="str">
        <f>"F800-20-0251-(AR 1.3)"</f>
        <v>F800-20-0251-(AR 1.3)</v>
      </c>
      <c r="E284" s="3" t="str">
        <f>"(A)bug, a bear, and a boy go to school"</f>
        <v>(A)bug, a bear, and a boy go to school</v>
      </c>
      <c r="F284" s="3" t="str">
        <f>"by David Mcphail"</f>
        <v>by David Mcphail</v>
      </c>
      <c r="G284" s="3" t="str">
        <f>"Scholastic"</f>
        <v>Scholastic</v>
      </c>
      <c r="H284" s="2" t="str">
        <f>"1997"</f>
        <v>1997</v>
      </c>
      <c r="I284" s="3" t="str">
        <f>""</f>
        <v/>
      </c>
    </row>
    <row r="285" spans="1:9" x14ac:dyDescent="0.3">
      <c r="A285" s="2">
        <v>284</v>
      </c>
      <c r="B285" s="4" t="s">
        <v>14</v>
      </c>
      <c r="C285" s="3" t="str">
        <f>"TFC000000236"</f>
        <v>TFC000000236</v>
      </c>
      <c r="D285" s="3" t="str">
        <f>"F800-20-0252-(AR 1.3)"</f>
        <v>F800-20-0252-(AR 1.3)</v>
      </c>
      <c r="E285" s="3" t="str">
        <f>"We're going on a bear hunt"</f>
        <v>We're going on a bear hunt</v>
      </c>
      <c r="F285" s="3" t="str">
        <f>"retold by Michael Rosen ; illustrated by Helen Oxenbury"</f>
        <v>retold by Michael Rosen ; illustrated by Helen Oxenbury</v>
      </c>
      <c r="G285" s="3" t="str">
        <f>"Aladdin Paperbacks"</f>
        <v>Aladdin Paperbacks</v>
      </c>
      <c r="H285" s="2" t="str">
        <f>"2003"</f>
        <v>2003</v>
      </c>
      <c r="I285" s="3" t="str">
        <f>""</f>
        <v/>
      </c>
    </row>
    <row r="286" spans="1:9" x14ac:dyDescent="0.3">
      <c r="A286" s="2">
        <v>285</v>
      </c>
      <c r="B286" s="4" t="s">
        <v>14</v>
      </c>
      <c r="C286" s="3" t="str">
        <f>"TFC000000237"</f>
        <v>TFC000000237</v>
      </c>
      <c r="D286" s="3" t="str">
        <f>"F800-20-0253-(AR 1.3)"</f>
        <v>F800-20-0253-(AR 1.3)</v>
      </c>
      <c r="E286" s="3" t="str">
        <f>"Cookie's week"</f>
        <v>Cookie's week</v>
      </c>
      <c r="F286" s="3" t="str">
        <f>"by Cindy Ward ; illustrated by Tomie dePaola"</f>
        <v>by Cindy Ward ; illustrated by Tomie dePaola</v>
      </c>
      <c r="G286" s="3" t="str">
        <f>"Penguin Putnam Books for Young Readers"</f>
        <v>Penguin Putnam Books for Young Readers</v>
      </c>
      <c r="H286" s="2" t="str">
        <f>"1988"</f>
        <v>1988</v>
      </c>
      <c r="I286" s="3" t="str">
        <f>""</f>
        <v/>
      </c>
    </row>
    <row r="287" spans="1:9" x14ac:dyDescent="0.3">
      <c r="A287" s="2">
        <v>286</v>
      </c>
      <c r="B287" s="4" t="s">
        <v>14</v>
      </c>
      <c r="C287" s="3" t="str">
        <f>"TFC000000238"</f>
        <v>TFC000000238</v>
      </c>
      <c r="D287" s="3" t="str">
        <f>"F800-20-0254-(AR 1.3)"</f>
        <v>F800-20-0254-(AR 1.3)</v>
      </c>
      <c r="E287" s="3" t="str">
        <f>"School of fish"</f>
        <v>School of fish</v>
      </c>
      <c r="F287" s="3" t="str">
        <f>"by Jane Yolen ; illustrated by Michael Moran"</f>
        <v>by Jane Yolen ; illustrated by Michael Moran</v>
      </c>
      <c r="G287" s="3" t="str">
        <f>"Simon Spotlight"</f>
        <v>Simon Spotlight</v>
      </c>
      <c r="H287" s="2" t="str">
        <f>"2019"</f>
        <v>2019</v>
      </c>
      <c r="I287" s="3" t="str">
        <f>""</f>
        <v/>
      </c>
    </row>
    <row r="288" spans="1:9" x14ac:dyDescent="0.3">
      <c r="A288" s="2">
        <v>287</v>
      </c>
      <c r="B288" s="4" t="s">
        <v>14</v>
      </c>
      <c r="C288" s="3" t="str">
        <f>"TFC000000239"</f>
        <v>TFC000000239</v>
      </c>
      <c r="D288" s="3" t="str">
        <f>"F800-20-0255-(AR 1.3)"</f>
        <v>F800-20-0255-(AR 1.3)</v>
      </c>
      <c r="E288" s="3" t="str">
        <f>"Buzz boy and fly guy"</f>
        <v>Buzz boy and fly guy</v>
      </c>
      <c r="F288" s="3" t="str">
        <f>"by Tedd Arnold"</f>
        <v>by Tedd Arnold</v>
      </c>
      <c r="G288" s="3" t="str">
        <f>"Cartwheel Books:Scholastic"</f>
        <v>Cartwheel Books:Scholastic</v>
      </c>
      <c r="H288" s="2" t="str">
        <f>"2010"</f>
        <v>2010</v>
      </c>
      <c r="I288" s="3" t="str">
        <f>""</f>
        <v/>
      </c>
    </row>
    <row r="289" spans="1:9" x14ac:dyDescent="0.3">
      <c r="A289" s="2">
        <v>288</v>
      </c>
      <c r="B289" s="4" t="s">
        <v>14</v>
      </c>
      <c r="C289" s="3" t="str">
        <f>"TFC000000240"</f>
        <v>TFC000000240</v>
      </c>
      <c r="D289" s="3" t="str">
        <f>"F800-20-0256-(AR 1.3)"</f>
        <v>F800-20-0256-(AR 1.3)</v>
      </c>
      <c r="E289" s="3" t="str">
        <f>"(The)story of Fish &amp; Snail"</f>
        <v>(The)story of Fish &amp; Snail</v>
      </c>
      <c r="F289" s="3" t="str">
        <f>"Deborah Freedman"</f>
        <v>Deborah Freedman</v>
      </c>
      <c r="G289" s="3" t="str">
        <f>"Viking"</f>
        <v>Viking</v>
      </c>
      <c r="H289" s="2" t="str">
        <f>"2013"</f>
        <v>2013</v>
      </c>
      <c r="I289" s="3" t="str">
        <f>""</f>
        <v/>
      </c>
    </row>
    <row r="290" spans="1:9" x14ac:dyDescent="0.3">
      <c r="A290" s="2">
        <v>289</v>
      </c>
      <c r="B290" s="4" t="s">
        <v>14</v>
      </c>
      <c r="C290" s="3" t="str">
        <f>"TFC000000241"</f>
        <v>TFC000000241</v>
      </c>
      <c r="D290" s="3" t="str">
        <f>"F800-20-0257-(AR 1.3)"</f>
        <v>F800-20-0257-(AR 1.3)</v>
      </c>
      <c r="E290" s="3" t="str">
        <f>"(The)magic key"</f>
        <v>(The)magic key</v>
      </c>
      <c r="F290" s="3" t="str">
        <f>"written by Roderick Hunt ; illustrated by Alex Brychta"</f>
        <v>written by Roderick Hunt ; illustrated by Alex Brychta</v>
      </c>
      <c r="G290" s="3" t="str">
        <f>"Oxford University Press"</f>
        <v>Oxford University Press</v>
      </c>
      <c r="H290" s="2" t="str">
        <f>"2011"</f>
        <v>2011</v>
      </c>
      <c r="I290" s="3" t="str">
        <f>""</f>
        <v/>
      </c>
    </row>
    <row r="291" spans="1:9" x14ac:dyDescent="0.3">
      <c r="A291" s="2">
        <v>290</v>
      </c>
      <c r="B291" s="4" t="s">
        <v>14</v>
      </c>
      <c r="C291" s="3" t="str">
        <f>"TFC000000242"</f>
        <v>TFC000000242</v>
      </c>
      <c r="D291" s="3" t="str">
        <f>"F800-20-0258-(AR 1.3)"</f>
        <v>F800-20-0258-(AR 1.3)</v>
      </c>
      <c r="E291" s="3" t="str">
        <f>"Underground adventur"</f>
        <v>Underground adventur</v>
      </c>
      <c r="F291" s="3" t="str">
        <f>"written by Roderick Hunt ; illustrated by Alex Brychta"</f>
        <v>written by Roderick Hunt ; illustrated by Alex Brychta</v>
      </c>
      <c r="G291" s="3" t="str">
        <f>"Oxford University Press"</f>
        <v>Oxford University Press</v>
      </c>
      <c r="H291" s="2" t="str">
        <f>"2011"</f>
        <v>2011</v>
      </c>
      <c r="I291" s="3" t="str">
        <f>""</f>
        <v/>
      </c>
    </row>
    <row r="292" spans="1:9" x14ac:dyDescent="0.3">
      <c r="A292" s="2">
        <v>291</v>
      </c>
      <c r="B292" s="4" t="s">
        <v>14</v>
      </c>
      <c r="C292" s="3" t="str">
        <f>"TFC000000243"</f>
        <v>TFC000000243</v>
      </c>
      <c r="D292" s="3" t="str">
        <f>"F800-20-0259-(AR 1.3)"</f>
        <v>F800-20-0259-(AR 1.3)</v>
      </c>
      <c r="E292" s="3" t="str">
        <f>"(The)whatsit"</f>
        <v>(The)whatsit</v>
      </c>
      <c r="F292" s="3" t="str">
        <f>"written by Roderick Hunt ; illustrated by Alex Brychta"</f>
        <v>written by Roderick Hunt ; illustrated by Alex Brychta</v>
      </c>
      <c r="G292" s="3" t="str">
        <f>"Oxford University Press"</f>
        <v>Oxford University Press</v>
      </c>
      <c r="H292" s="2" t="str">
        <f>"2011"</f>
        <v>2011</v>
      </c>
      <c r="I292" s="3" t="str">
        <f>""</f>
        <v/>
      </c>
    </row>
    <row r="293" spans="1:9" x14ac:dyDescent="0.3">
      <c r="A293" s="2">
        <v>292</v>
      </c>
      <c r="B293" s="4" t="s">
        <v>14</v>
      </c>
      <c r="C293" s="3" t="str">
        <f>"TFC000000244"</f>
        <v>TFC000000244</v>
      </c>
      <c r="D293" s="3" t="str">
        <f>"F800-20-0260-(AR 1.3)"</f>
        <v>F800-20-0260-(AR 1.3)</v>
      </c>
      <c r="E293" s="3" t="str">
        <f>"Mr. Scruff"</f>
        <v>Mr. Scruff</v>
      </c>
      <c r="F293" s="3" t="str">
        <f>"Simon James"</f>
        <v>Simon James</v>
      </c>
      <c r="G293" s="3" t="str">
        <f>"Candlewick Press"</f>
        <v>Candlewick Press</v>
      </c>
      <c r="H293" s="2" t="str">
        <f>"2019"</f>
        <v>2019</v>
      </c>
      <c r="I293" s="3" t="str">
        <f>""</f>
        <v/>
      </c>
    </row>
    <row r="294" spans="1:9" x14ac:dyDescent="0.3">
      <c r="A294" s="2">
        <v>293</v>
      </c>
      <c r="B294" s="4" t="s">
        <v>14</v>
      </c>
      <c r="C294" s="3" t="str">
        <f>"TFC000000245"</f>
        <v>TFC000000245</v>
      </c>
      <c r="D294" s="3" t="str">
        <f>"F800-20-0261-(AR 1.3)"</f>
        <v>F800-20-0261-(AR 1.3)</v>
      </c>
      <c r="E294" s="3" t="str">
        <f>"Double bass blues"</f>
        <v>Double bass blues</v>
      </c>
      <c r="F294" s="3" t="str">
        <f>"by Andrea J. Loney ; illustrated by Rudy Gutierrez"</f>
        <v>by Andrea J. Loney ; illustrated by Rudy Gutierrez</v>
      </c>
      <c r="G294" s="3" t="str">
        <f>"Alfred A. Knopf"</f>
        <v>Alfred A. Knopf</v>
      </c>
      <c r="H294" s="2" t="str">
        <f>"2019"</f>
        <v>2019</v>
      </c>
      <c r="I294" s="3" t="str">
        <f>""</f>
        <v/>
      </c>
    </row>
    <row r="295" spans="1:9" x14ac:dyDescent="0.3">
      <c r="A295" s="2">
        <v>294</v>
      </c>
      <c r="B295" s="4" t="s">
        <v>14</v>
      </c>
      <c r="C295" s="3" t="str">
        <f>"TFC000000246"</f>
        <v>TFC000000246</v>
      </c>
      <c r="D295" s="3" t="str">
        <f>"F800-20-0262-(AR 1.3)"</f>
        <v>F800-20-0262-(AR 1.3)</v>
      </c>
      <c r="E295" s="3" t="str">
        <f>"Mr. Monkey visits a school"</f>
        <v>Mr. Monkey visits a school</v>
      </c>
      <c r="F295" s="3" t="str">
        <f>"Jeff Mack"</f>
        <v>Jeff Mack</v>
      </c>
      <c r="G295" s="3" t="str">
        <f>"Simon &amp; Schuster Books for Young Readers"</f>
        <v>Simon &amp; Schuster Books for Young Readers</v>
      </c>
      <c r="H295" s="2" t="str">
        <f>"2018"</f>
        <v>2018</v>
      </c>
      <c r="I295" s="3" t="str">
        <f>""</f>
        <v/>
      </c>
    </row>
    <row r="296" spans="1:9" x14ac:dyDescent="0.3">
      <c r="A296" s="2">
        <v>295</v>
      </c>
      <c r="B296" s="4" t="s">
        <v>14</v>
      </c>
      <c r="C296" s="3" t="str">
        <f>"TFC000000247"</f>
        <v>TFC000000247</v>
      </c>
      <c r="D296" s="3" t="str">
        <f>"F800-20-0263-(AR 1.3)"</f>
        <v>F800-20-0263-(AR 1.3)</v>
      </c>
      <c r="E296" s="3" t="str">
        <f>"Eloise and the snowman"</f>
        <v>Eloise and the snowman</v>
      </c>
      <c r="F296" s="3" t="str">
        <f>"story by Lisa McClatchy ; illustrated by Tammie Lyon"</f>
        <v>story by Lisa McClatchy ; illustrated by Tammie Lyon</v>
      </c>
      <c r="G296" s="3" t="str">
        <f>"Aladdin Paperbacks"</f>
        <v>Aladdin Paperbacks</v>
      </c>
      <c r="H296" s="2" t="str">
        <f>"2006"</f>
        <v>2006</v>
      </c>
      <c r="I296" s="3" t="str">
        <f>""</f>
        <v/>
      </c>
    </row>
    <row r="297" spans="1:9" x14ac:dyDescent="0.3">
      <c r="A297" s="2">
        <v>296</v>
      </c>
      <c r="B297" s="4" t="s">
        <v>14</v>
      </c>
      <c r="C297" s="3" t="str">
        <f>"TFC000000248"</f>
        <v>TFC000000248</v>
      </c>
      <c r="D297" s="3" t="str">
        <f>"F800-20-0264-(AR 1.3)"</f>
        <v>F800-20-0264-(AR 1.3)</v>
      </c>
      <c r="E297" s="3" t="str">
        <f>"Eloise's new bonnet"</f>
        <v>Eloise's new bonnet</v>
      </c>
      <c r="F297" s="3" t="str">
        <f>"story by Lisa McClatchy ; illustrated by Tammie Lyon"</f>
        <v>story by Lisa McClatchy ; illustrated by Tammie Lyon</v>
      </c>
      <c r="G297" s="3" t="str">
        <f>"Aladdin Paperbacks"</f>
        <v>Aladdin Paperbacks</v>
      </c>
      <c r="H297" s="2" t="str">
        <f>"2016"</f>
        <v>2016</v>
      </c>
      <c r="I297" s="3" t="str">
        <f>""</f>
        <v/>
      </c>
    </row>
    <row r="298" spans="1:9" x14ac:dyDescent="0.3">
      <c r="A298" s="2">
        <v>297</v>
      </c>
      <c r="B298" s="4" t="s">
        <v>14</v>
      </c>
      <c r="C298" s="3" t="str">
        <f>"TFC000000249"</f>
        <v>TFC000000249</v>
      </c>
      <c r="D298" s="3" t="str">
        <f>"F800-20-0265-(AR 1.3)"</f>
        <v>F800-20-0265-(AR 1.3)</v>
      </c>
      <c r="E298" s="3" t="str">
        <f>"Ready? set. Raymond!"</f>
        <v>Ready? set. Raymond!</v>
      </c>
      <c r="F298" s="3" t="str">
        <f>"by Vaunda Nelson ; illustrated by Derek Anderson"</f>
        <v>by Vaunda Nelson ; illustrated by Derek Anderson</v>
      </c>
      <c r="G298" s="3" t="str">
        <f>"Random House"</f>
        <v>Random House</v>
      </c>
      <c r="H298" s="2" t="str">
        <f>"2002"</f>
        <v>2002</v>
      </c>
      <c r="I298" s="3" t="str">
        <f>""</f>
        <v/>
      </c>
    </row>
    <row r="299" spans="1:9" x14ac:dyDescent="0.3">
      <c r="A299" s="2">
        <v>298</v>
      </c>
      <c r="B299" s="4" t="s">
        <v>14</v>
      </c>
      <c r="C299" s="3" t="str">
        <f>"TFC000000250"</f>
        <v>TFC000000250</v>
      </c>
      <c r="D299" s="3" t="str">
        <f>"F800-20-0266-(AR 1.3)"</f>
        <v>F800-20-0266-(AR 1.3)</v>
      </c>
      <c r="E299" s="3" t="str">
        <f>"Grumpy bird"</f>
        <v>Grumpy bird</v>
      </c>
      <c r="F299" s="3" t="str">
        <f>"Jeremy Tankard"</f>
        <v>Jeremy Tankard</v>
      </c>
      <c r="G299" s="3" t="str">
        <f>"Scholastic Press"</f>
        <v>Scholastic Press</v>
      </c>
      <c r="H299" s="2" t="str">
        <f>"2007"</f>
        <v>2007</v>
      </c>
      <c r="I299" s="3" t="str">
        <f>""</f>
        <v/>
      </c>
    </row>
    <row r="300" spans="1:9" x14ac:dyDescent="0.3">
      <c r="A300" s="2">
        <v>299</v>
      </c>
      <c r="B300" s="4" t="s">
        <v>14</v>
      </c>
      <c r="C300" s="3" t="str">
        <f>"TFC000000251"</f>
        <v>TFC000000251</v>
      </c>
      <c r="D300" s="3" t="str">
        <f>"F800-20-0267-(AR 1.3)"</f>
        <v>F800-20-0267-(AR 1.3)</v>
      </c>
      <c r="E300" s="3" t="str">
        <f>"Kiwi cannot reach!"</f>
        <v>Kiwi cannot reach!</v>
      </c>
      <c r="F300" s="3" t="str">
        <f>"Jason Tharp"</f>
        <v>Jason Tharp</v>
      </c>
      <c r="G300" s="3" t="str">
        <f>"Simon Spotlight"</f>
        <v>Simon Spotlight</v>
      </c>
      <c r="H300" s="2" t="str">
        <f>"2019"</f>
        <v>2019</v>
      </c>
      <c r="I300" s="3" t="str">
        <f>""</f>
        <v/>
      </c>
    </row>
    <row r="301" spans="1:9" x14ac:dyDescent="0.3">
      <c r="A301" s="2">
        <v>300</v>
      </c>
      <c r="B301" s="4" t="s">
        <v>14</v>
      </c>
      <c r="C301" s="3" t="str">
        <f>"TFC000003906"</f>
        <v>TFC000003906</v>
      </c>
      <c r="D301" s="3" t="str">
        <f>"F800-21-0044-(AR 1.3)"</f>
        <v>F800-21-0044-(AR 1.3)</v>
      </c>
      <c r="E301" s="3" t="str">
        <f>"Skeleton hiccups"</f>
        <v>Skeleton hiccups</v>
      </c>
      <c r="F301" s="3" t="str">
        <f>"by Margery Cuyler, illustrated by S. D. Schindler"</f>
        <v>by Margery Cuyler, illustrated by S. D. Schindler</v>
      </c>
      <c r="G301" s="3" t="str">
        <f>"Aladdin"</f>
        <v>Aladdin</v>
      </c>
      <c r="H301" s="2" t="str">
        <f>"2005"</f>
        <v>2005</v>
      </c>
      <c r="I301" s="3" t="str">
        <f>""</f>
        <v/>
      </c>
    </row>
    <row r="302" spans="1:9" x14ac:dyDescent="0.3">
      <c r="A302" s="2">
        <v>301</v>
      </c>
      <c r="B302" s="4" t="s">
        <v>14</v>
      </c>
      <c r="C302" s="3" t="str">
        <f>"TFC000002823"</f>
        <v>TFC000002823</v>
      </c>
      <c r="D302" s="3" t="str">
        <f>"F800-20-0271-(AR 1.3)"</f>
        <v>F800-20-0271-(AR 1.3)</v>
      </c>
      <c r="E302" s="3" t="str">
        <f>"Let's make a snowman"</f>
        <v>Let's make a snowman</v>
      </c>
      <c r="F302" s="3" t="str">
        <f>"by Patricia Lakin ; illustrated by Brian Floca"</f>
        <v>by Patricia Lakin ; illustrated by Brian Floca</v>
      </c>
      <c r="G302" s="3" t="str">
        <f>"Scholastic"</f>
        <v>Scholastic</v>
      </c>
      <c r="H302" s="2" t="str">
        <f>"2008"</f>
        <v>2008</v>
      </c>
      <c r="I302" s="3" t="str">
        <f>""</f>
        <v/>
      </c>
    </row>
    <row r="303" spans="1:9" x14ac:dyDescent="0.3">
      <c r="A303" s="2">
        <v>302</v>
      </c>
      <c r="B303" s="4" t="s">
        <v>14</v>
      </c>
      <c r="C303" s="3" t="str">
        <f>"TFC000003027"</f>
        <v>TFC000003027</v>
      </c>
      <c r="D303" s="3" t="str">
        <f>"F800-20-0272-(AR 1.3)"</f>
        <v>F800-20-0272-(AR 1.3)</v>
      </c>
      <c r="E303" s="3" t="str">
        <f>"Duck &amp; Goose : a gift for Goose"</f>
        <v>Duck &amp; Goose : a gift for Goose</v>
      </c>
      <c r="F303" s="3" t="str">
        <f>"Tad Hills"</f>
        <v>Tad Hills</v>
      </c>
      <c r="G303" s="3" t="str">
        <f>"Schwartz &amp; Wade Books"</f>
        <v>Schwartz &amp; Wade Books</v>
      </c>
      <c r="H303" s="2" t="str">
        <f>"2019"</f>
        <v>2019</v>
      </c>
      <c r="I303" s="3" t="str">
        <f>""</f>
        <v/>
      </c>
    </row>
    <row r="304" spans="1:9" x14ac:dyDescent="0.3">
      <c r="A304" s="2">
        <v>303</v>
      </c>
      <c r="B304" s="4" t="s">
        <v>14</v>
      </c>
      <c r="C304" s="3" t="str">
        <f>"TFC000004027"</f>
        <v>TFC000004027</v>
      </c>
      <c r="D304" s="3" t="str">
        <f>"F400-21-0047-(AR 1.3)"</f>
        <v>F400-21-0047-(AR 1.3)</v>
      </c>
      <c r="E304" s="3" t="str">
        <f>"Northern Cardinals"</f>
        <v>Northern Cardinals</v>
      </c>
      <c r="F304" s="3" t="str">
        <f>"by Julie Murray"</f>
        <v>by Julie Murray</v>
      </c>
      <c r="G304" s="3" t="str">
        <f>"Abdo Kids"</f>
        <v>Abdo Kids</v>
      </c>
      <c r="H304" s="2" t="str">
        <f>"2021"</f>
        <v>2021</v>
      </c>
      <c r="I304" s="3" t="str">
        <f>""</f>
        <v/>
      </c>
    </row>
    <row r="305" spans="1:9" x14ac:dyDescent="0.3">
      <c r="A305" s="2">
        <v>304</v>
      </c>
      <c r="B305" s="4" t="s">
        <v>14</v>
      </c>
      <c r="C305" s="3" t="str">
        <f>"TFC000003537"</f>
        <v>TFC000003537</v>
      </c>
      <c r="D305" s="3" t="str">
        <f>"F800-21-0040-(AR 1.3)"</f>
        <v>F800-21-0040-(AR 1.3)</v>
      </c>
      <c r="E305" s="3" t="str">
        <f>"Biscuit visits the doctor"</f>
        <v>Biscuit visits the doctor</v>
      </c>
      <c r="F305" s="3" t="str">
        <f>"by Alyssa Satin Capucilli, Pat Schories, Rose Mary Berlin ; edited by Rebecca Frazar"</f>
        <v>by Alyssa Satin Capucilli, Pat Schories, Rose Mary Berlin ; edited by Rebecca Frazar</v>
      </c>
      <c r="G305" s="3" t="str">
        <f>"Harper Festival"</f>
        <v>Harper Festival</v>
      </c>
      <c r="H305" s="2" t="str">
        <f>"2008"</f>
        <v>2008</v>
      </c>
      <c r="I305" s="3" t="str">
        <f>""</f>
        <v/>
      </c>
    </row>
    <row r="306" spans="1:9" x14ac:dyDescent="0.3">
      <c r="A306" s="2">
        <v>305</v>
      </c>
      <c r="B306" s="4" t="s">
        <v>14</v>
      </c>
      <c r="C306" s="3" t="str">
        <f>"TFC000003816"</f>
        <v>TFC000003816</v>
      </c>
      <c r="D306" s="3" t="str">
        <f>"F800-21-0042-(AR 1.3)"</f>
        <v>F800-21-0042-(AR 1.3)</v>
      </c>
      <c r="E306" s="3" t="str">
        <f>"My Two Dads and Me"</f>
        <v>My Two Dads and Me</v>
      </c>
      <c r="F306" s="3" t="str">
        <f>"written by Michael Joosten, illustrated by Izak Zenou."</f>
        <v>written by Michael Joosten, illustrated by Izak Zenou.</v>
      </c>
      <c r="G306" s="3" t="str">
        <f>"Doubleday Books"</f>
        <v>Doubleday Books</v>
      </c>
      <c r="H306" s="2" t="str">
        <f>"2019"</f>
        <v>2019</v>
      </c>
      <c r="I306" s="3" t="str">
        <f>""</f>
        <v/>
      </c>
    </row>
    <row r="307" spans="1:9" x14ac:dyDescent="0.3">
      <c r="A307" s="2">
        <v>306</v>
      </c>
      <c r="B307" s="4" t="s">
        <v>14</v>
      </c>
      <c r="C307" s="3" t="str">
        <f>"TFC000003708"</f>
        <v>TFC000003708</v>
      </c>
      <c r="D307" s="3" t="str">
        <f>"F800-21-0041-(AR 1.3)"</f>
        <v>F800-21-0041-(AR 1.3)</v>
      </c>
      <c r="E307" s="3" t="str">
        <f>"Pete at the beach"</f>
        <v>Pete at the beach</v>
      </c>
      <c r="F307" s="3" t="str">
        <f>"created by James Dean"</f>
        <v>created by James Dean</v>
      </c>
      <c r="G307" s="3" t="str">
        <f>"Harper"</f>
        <v>Harper</v>
      </c>
      <c r="H307" s="2" t="str">
        <f>"2013"</f>
        <v>2013</v>
      </c>
      <c r="I307" s="3" t="str">
        <f>""</f>
        <v/>
      </c>
    </row>
    <row r="308" spans="1:9" x14ac:dyDescent="0.3">
      <c r="A308" s="2">
        <v>307</v>
      </c>
      <c r="B308" s="4" t="s">
        <v>14</v>
      </c>
      <c r="C308" s="3" t="str">
        <f>"TFC000003820"</f>
        <v>TFC000003820</v>
      </c>
      <c r="D308" s="3" t="str">
        <f>"F800-21-0043-(AR 1.3)"</f>
        <v>F800-21-0043-(AR 1.3)</v>
      </c>
      <c r="E308" s="3" t="str">
        <f>"Ty's Travels : Zip, Zoom!"</f>
        <v>Ty's Travels : Zip, Zoom!</v>
      </c>
      <c r="F308" s="3" t="str">
        <f>"by Kelly Starling Lyons, pictures by Nina Mata"</f>
        <v>by Kelly Starling Lyons, pictures by Nina Mata</v>
      </c>
      <c r="G308" s="3" t="str">
        <f>"Harper"</f>
        <v>Harper</v>
      </c>
      <c r="H308" s="2" t="str">
        <f>"2020"</f>
        <v>2020</v>
      </c>
      <c r="I308" s="3" t="str">
        <f>""</f>
        <v/>
      </c>
    </row>
    <row r="309" spans="1:9" x14ac:dyDescent="0.3">
      <c r="A309" s="2">
        <v>308</v>
      </c>
      <c r="B309" s="4" t="s">
        <v>14</v>
      </c>
      <c r="C309" s="3" t="str">
        <f>"TFC000004026"</f>
        <v>TFC000004026</v>
      </c>
      <c r="D309" s="3" t="str">
        <f>"F800-21-0046-(AR 1.3)"</f>
        <v>F800-21-0046-(AR 1.3)</v>
      </c>
      <c r="E309" s="3" t="str">
        <f>"See the dog : three stories about a cat"</f>
        <v>See the dog : three stories about a cat</v>
      </c>
      <c r="F309" s="3" t="str">
        <f>"David LaRochelle,  illustrated by Mike Wohnoutka"</f>
        <v>David LaRochelle,  illustrated by Mike Wohnoutka</v>
      </c>
      <c r="G309" s="3" t="str">
        <f>"Candlewick Press"</f>
        <v>Candlewick Press</v>
      </c>
      <c r="H309" s="2" t="str">
        <f>"2021"</f>
        <v>2021</v>
      </c>
      <c r="I309" s="3" t="str">
        <f>""</f>
        <v/>
      </c>
    </row>
    <row r="310" spans="1:9" x14ac:dyDescent="0.3">
      <c r="A310" s="2">
        <v>309</v>
      </c>
      <c r="B310" s="4" t="s">
        <v>14</v>
      </c>
      <c r="C310" s="3" t="str">
        <f>"TFC000004135"</f>
        <v>TFC000004135</v>
      </c>
      <c r="D310" s="3" t="str">
        <f>"F800-21-0048-(AR 1.3)"</f>
        <v>F800-21-0048-(AR 1.3)</v>
      </c>
      <c r="E310" s="3" t="str">
        <f>"Night night, Groot"</f>
        <v>Night night, Groot</v>
      </c>
      <c r="F310" s="3" t="str">
        <f>"written by Brendan Deneen, pictures by Cale Atkinson"</f>
        <v>written by Brendan Deneen, pictures by Cale Atkinson</v>
      </c>
      <c r="G310" s="3" t="str">
        <f>"Marvel Press"</f>
        <v>Marvel Press</v>
      </c>
      <c r="H310" s="2" t="str">
        <f>"2018"</f>
        <v>2018</v>
      </c>
      <c r="I310" s="3" t="str">
        <f>""</f>
        <v/>
      </c>
    </row>
    <row r="311" spans="1:9" x14ac:dyDescent="0.3">
      <c r="A311" s="2">
        <v>310</v>
      </c>
      <c r="B311" s="4" t="s">
        <v>14</v>
      </c>
      <c r="C311" s="3" t="str">
        <f>"TFC000004136"</f>
        <v>TFC000004136</v>
      </c>
      <c r="D311" s="3" t="str">
        <f>"F800-21-0049-(AR 1.3)"</f>
        <v>F800-21-0049-(AR 1.3)</v>
      </c>
      <c r="E311" s="3" t="str">
        <f>"Dinosaur Christmas"</f>
        <v>Dinosaur Christmas</v>
      </c>
      <c r="F311" s="3" t="str">
        <f>"by Jerry Palotta, illustrated by Howard McWilliam"</f>
        <v>by Jerry Palotta, illustrated by Howard McWilliam</v>
      </c>
      <c r="G311" s="3" t="str">
        <f>"Scholastic"</f>
        <v>Scholastic</v>
      </c>
      <c r="H311" s="2" t="str">
        <f>"2014"</f>
        <v>2014</v>
      </c>
      <c r="I311" s="3" t="str">
        <f>""</f>
        <v/>
      </c>
    </row>
    <row r="312" spans="1:9" x14ac:dyDescent="0.3">
      <c r="A312" s="2">
        <v>311</v>
      </c>
      <c r="B312" s="4" t="s">
        <v>14</v>
      </c>
      <c r="C312" s="3" t="str">
        <f>"TFC000004286"</f>
        <v>TFC000004286</v>
      </c>
      <c r="D312" s="3" t="str">
        <f>"F800-22-0002-(AR 1.3)=2"</f>
        <v>F800-22-0002-(AR 1.3)=2</v>
      </c>
      <c r="E312" s="3" t="str">
        <f>"I broke my trunk!"</f>
        <v>I broke my trunk!</v>
      </c>
      <c r="F312" s="3" t="str">
        <f>"by Mo Willems"</f>
        <v>by Mo Willems</v>
      </c>
      <c r="G312" s="3" t="str">
        <f>"Hyperion Books for Children"</f>
        <v>Hyperion Books for Children</v>
      </c>
      <c r="H312" s="2" t="str">
        <f>"2011"</f>
        <v>2011</v>
      </c>
      <c r="I312" s="3" t="str">
        <f>""</f>
        <v/>
      </c>
    </row>
    <row r="313" spans="1:9" x14ac:dyDescent="0.3">
      <c r="A313" s="2">
        <v>312</v>
      </c>
      <c r="B313" s="4" t="s">
        <v>14</v>
      </c>
      <c r="C313" s="3" t="str">
        <f>"TFC000004325"</f>
        <v>TFC000004325</v>
      </c>
      <c r="D313" s="3" t="str">
        <f>"F800-22-0134-(AR 1.3)"</f>
        <v>F800-22-0134-(AR 1.3)</v>
      </c>
      <c r="E313" s="3" t="str">
        <f>"Bear Is a Bear"</f>
        <v>Bear Is a Bear</v>
      </c>
      <c r="F313" s="3" t="str">
        <f>"byJonathan Stutzman, Dan Santat"</f>
        <v>byJonathan Stutzman, Dan Santat</v>
      </c>
      <c r="G313" s="3" t="str">
        <f>"Balzer &amp; Bray/Harperteen"</f>
        <v>Balzer &amp; Bray/Harperteen</v>
      </c>
      <c r="H313" s="2" t="str">
        <f>"2021"</f>
        <v>2021</v>
      </c>
      <c r="I313" s="3" t="str">
        <f>""</f>
        <v/>
      </c>
    </row>
    <row r="314" spans="1:9" x14ac:dyDescent="0.3">
      <c r="A314" s="2">
        <v>313</v>
      </c>
      <c r="B314" s="4" t="s">
        <v>14</v>
      </c>
      <c r="C314" s="3" t="str">
        <f>"TFC000004334"</f>
        <v>TFC000004334</v>
      </c>
      <c r="D314" s="3" t="str">
        <f>"F800-22-0143-(AR1.3)"</f>
        <v>F800-22-0143-(AR1.3)</v>
      </c>
      <c r="E314" s="3" t="str">
        <f>"Before I leave"</f>
        <v>Before I leave</v>
      </c>
      <c r="F314" s="3" t="str">
        <f>"by Jessixa Bagley"</f>
        <v>by Jessixa Bagley</v>
      </c>
      <c r="G314" s="3" t="str">
        <f>"Roaring Brook Press"</f>
        <v>Roaring Brook Press</v>
      </c>
      <c r="H314" s="2" t="str">
        <f>"2016"</f>
        <v>2016</v>
      </c>
      <c r="I314" s="3" t="str">
        <f>""</f>
        <v/>
      </c>
    </row>
    <row r="315" spans="1:9" x14ac:dyDescent="0.3">
      <c r="A315" s="2">
        <v>314</v>
      </c>
      <c r="B315" s="4" t="s">
        <v>14</v>
      </c>
      <c r="C315" s="3" t="str">
        <f>"TFC000004420"</f>
        <v>TFC000004420</v>
      </c>
      <c r="D315" s="3" t="str">
        <f>"F800-22-0229-(AR1.3)"</f>
        <v>F800-22-0229-(AR1.3)</v>
      </c>
      <c r="E315" s="3" t="str">
        <f>"Field trip"</f>
        <v>Field trip</v>
      </c>
      <c r="F315" s="3" t="str">
        <f>"story by J.D. Riley, pictures by Brandon Dorman"</f>
        <v>story by J.D. Riley, pictures by Brandon Dorman</v>
      </c>
      <c r="G315" s="3" t="str">
        <f>"Greenwillow"</f>
        <v>Greenwillow</v>
      </c>
      <c r="H315" s="2" t="str">
        <f>"2014"</f>
        <v>2014</v>
      </c>
      <c r="I315" s="3" t="str">
        <f>""</f>
        <v/>
      </c>
    </row>
    <row r="316" spans="1:9" x14ac:dyDescent="0.3">
      <c r="A316" s="2">
        <v>315</v>
      </c>
      <c r="B316" s="4" t="s">
        <v>15</v>
      </c>
      <c r="C316" s="3" t="str">
        <f>"TFC000000258"</f>
        <v>TFC000000258</v>
      </c>
      <c r="D316" s="3" t="str">
        <f>"F800-20-0277-(AR 1.4)"</f>
        <v>F800-20-0277-(AR 1.4)</v>
      </c>
      <c r="E316" s="3" t="str">
        <f>"Who will be my friends?"</f>
        <v>Who will be my friends?</v>
      </c>
      <c r="F316" s="3" t="str">
        <f>"story and pictures by Syd Hoff"</f>
        <v>story and pictures by Syd Hoff</v>
      </c>
      <c r="G316" s="3" t="str">
        <f>"HarperTrophy:Moonjin Media"</f>
        <v>HarperTrophy:Moonjin Media</v>
      </c>
      <c r="H316" s="2" t="str">
        <f>"1988"</f>
        <v>1988</v>
      </c>
      <c r="I316" s="2" t="s">
        <v>2</v>
      </c>
    </row>
    <row r="317" spans="1:9" x14ac:dyDescent="0.3">
      <c r="A317" s="2">
        <v>316</v>
      </c>
      <c r="B317" s="4" t="s">
        <v>15</v>
      </c>
      <c r="C317" s="3" t="str">
        <f>"TFC000003439"</f>
        <v>TFC000003439</v>
      </c>
      <c r="D317" s="3" t="str">
        <f>"F800-21-0053-(AR 1.4)"</f>
        <v>F800-21-0053-(AR 1.4)</v>
      </c>
      <c r="E317" s="3" t="str">
        <f>"Doodle bites"</f>
        <v>Doodle bites</v>
      </c>
      <c r="F317" s="3" t="str">
        <f>"by Polly Dunbar"</f>
        <v>by Polly Dunbar</v>
      </c>
      <c r="G317" s="3" t="str">
        <f>"Walker"</f>
        <v>Walker</v>
      </c>
      <c r="H317" s="2" t="str">
        <f>"2012"</f>
        <v>2012</v>
      </c>
      <c r="I317" s="2" t="s">
        <v>2</v>
      </c>
    </row>
    <row r="318" spans="1:9" x14ac:dyDescent="0.3">
      <c r="A318" s="2">
        <v>317</v>
      </c>
      <c r="B318" s="4" t="s">
        <v>15</v>
      </c>
      <c r="C318" s="3" t="str">
        <f>"TFC000003440"</f>
        <v>TFC000003440</v>
      </c>
      <c r="D318" s="3" t="str">
        <f>"F800-21-0054-(AR 1.4)"</f>
        <v>F800-21-0054-(AR 1.4)</v>
      </c>
      <c r="E318" s="3" t="str">
        <f>"Goodnight Tiptoe"</f>
        <v>Goodnight Tiptoe</v>
      </c>
      <c r="F318" s="3" t="str">
        <f>"by Polly Dunbar"</f>
        <v>by Polly Dunbar</v>
      </c>
      <c r="G318" s="3" t="str">
        <f>"Walker"</f>
        <v>Walker</v>
      </c>
      <c r="H318" s="2" t="str">
        <f>"2012"</f>
        <v>2012</v>
      </c>
      <c r="I318" s="2" t="s">
        <v>2</v>
      </c>
    </row>
    <row r="319" spans="1:9" x14ac:dyDescent="0.3">
      <c r="A319" s="2">
        <v>318</v>
      </c>
      <c r="B319" s="4" t="s">
        <v>15</v>
      </c>
      <c r="C319" s="3" t="str">
        <f>"TFC000003441"</f>
        <v>TFC000003441</v>
      </c>
      <c r="D319" s="3" t="str">
        <f>"F800-21-0055-(AR 1.4)"</f>
        <v>F800-21-0055-(AR 1.4)</v>
      </c>
      <c r="E319" s="3" t="str">
        <f>"Happy Hector"</f>
        <v>Happy Hector</v>
      </c>
      <c r="F319" s="3" t="str">
        <f>"by Polly Dunbar"</f>
        <v>by Polly Dunbar</v>
      </c>
      <c r="G319" s="3" t="str">
        <f>"Walker"</f>
        <v>Walker</v>
      </c>
      <c r="H319" s="2" t="str">
        <f>"2012"</f>
        <v>2012</v>
      </c>
      <c r="I319" s="2" t="s">
        <v>2</v>
      </c>
    </row>
    <row r="320" spans="1:9" x14ac:dyDescent="0.3">
      <c r="A320" s="2">
        <v>319</v>
      </c>
      <c r="B320" s="4" t="s">
        <v>15</v>
      </c>
      <c r="C320" s="3" t="str">
        <f>"TFC000000255"</f>
        <v>TFC000000255</v>
      </c>
      <c r="D320" s="3" t="str">
        <f>"F800-20-0274-(AR 1.4)"</f>
        <v>F800-20-0274-(AR 1.4)</v>
      </c>
      <c r="E320" s="3" t="str">
        <f>"My dad."</f>
        <v>My dad.</v>
      </c>
      <c r="F320" s="3" t="str">
        <f>"Anthony Browne"</f>
        <v>Anthony Browne</v>
      </c>
      <c r="G320" s="3" t="str">
        <f>"Picture Corgi"</f>
        <v>Picture Corgi</v>
      </c>
      <c r="H320" s="2" t="str">
        <f>"2010"</f>
        <v>2010</v>
      </c>
      <c r="I320" s="3" t="str">
        <f>""</f>
        <v/>
      </c>
    </row>
    <row r="321" spans="1:9" x14ac:dyDescent="0.3">
      <c r="A321" s="2">
        <v>320</v>
      </c>
      <c r="B321" s="4" t="s">
        <v>15</v>
      </c>
      <c r="C321" s="3" t="str">
        <f>"TFC000000257"</f>
        <v>TFC000000257</v>
      </c>
      <c r="D321" s="3" t="str">
        <f>"F800-20-0276-(AR 1.4)"</f>
        <v>F800-20-0276-(AR 1.4)</v>
      </c>
      <c r="E321" s="3" t="str">
        <f>"Draw me a star"</f>
        <v>Draw me a star</v>
      </c>
      <c r="F321" s="3" t="str">
        <f>"Eric Carle"</f>
        <v>Eric Carle</v>
      </c>
      <c r="G321" s="3" t="str">
        <f>"PaperStar"</f>
        <v>PaperStar</v>
      </c>
      <c r="H321" s="2" t="str">
        <f>"1992"</f>
        <v>1992</v>
      </c>
      <c r="I321" s="3" t="str">
        <f>""</f>
        <v/>
      </c>
    </row>
    <row r="322" spans="1:9" x14ac:dyDescent="0.3">
      <c r="A322" s="2">
        <v>321</v>
      </c>
      <c r="B322" s="4" t="s">
        <v>15</v>
      </c>
      <c r="C322" s="3" t="str">
        <f>"TFC000000259"</f>
        <v>TFC000000259</v>
      </c>
      <c r="D322" s="3" t="str">
        <f>"F800-20-0278-(AR 1.4)"</f>
        <v>F800-20-0278-(AR 1.4)</v>
      </c>
      <c r="E322" s="3" t="str">
        <f>"More for me!"</f>
        <v>More for me!</v>
      </c>
      <c r="F322" s="3" t="str">
        <f>"by Sydnie Meltzer Kleinhenz ; illustrated by Jerry Zimmerman ; math activities by Marilyn Burns"</f>
        <v>by Sydnie Meltzer Kleinhenz ; illustrated by Jerry Zimmerman ; math activities by Marilyn Burns</v>
      </c>
      <c r="G322" s="3" t="str">
        <f>"Scholastic"</f>
        <v>Scholastic</v>
      </c>
      <c r="H322" s="2" t="str">
        <f>"1997"</f>
        <v>1997</v>
      </c>
      <c r="I322" s="3" t="str">
        <f>""</f>
        <v/>
      </c>
    </row>
    <row r="323" spans="1:9" x14ac:dyDescent="0.3">
      <c r="A323" s="2">
        <v>322</v>
      </c>
      <c r="B323" s="4" t="s">
        <v>15</v>
      </c>
      <c r="C323" s="3" t="str">
        <f>"TFC000000260"</f>
        <v>TFC000000260</v>
      </c>
      <c r="D323" s="3" t="str">
        <f>"F800-20-0279-(AR 1.4)"</f>
        <v>F800-20-0279-(AR 1.4)</v>
      </c>
      <c r="E323" s="3" t="str">
        <f>"(The)pet that i want"</f>
        <v>(The)pet that i want</v>
      </c>
      <c r="F323" s="3" t="str">
        <f>"by Mary Packard ; illustrated by John Magine"</f>
        <v>by Mary Packard ; illustrated by John Magine</v>
      </c>
      <c r="G323" s="3" t="str">
        <f>"Scholastic"</f>
        <v>Scholastic</v>
      </c>
      <c r="H323" s="2" t="str">
        <f>"2003"</f>
        <v>2003</v>
      </c>
      <c r="I323" s="3" t="str">
        <f>""</f>
        <v/>
      </c>
    </row>
    <row r="324" spans="1:9" x14ac:dyDescent="0.3">
      <c r="A324" s="2">
        <v>323</v>
      </c>
      <c r="B324" s="4" t="s">
        <v>15</v>
      </c>
      <c r="C324" s="3" t="str">
        <f>"TFC000000261"</f>
        <v>TFC000000261</v>
      </c>
      <c r="D324" s="3" t="str">
        <f>"F800-20-0280-(AR 1.4)"</f>
        <v>F800-20-0280-(AR 1.4)</v>
      </c>
      <c r="E324" s="3" t="str">
        <f>"Life on mars"</f>
        <v>Life on mars</v>
      </c>
      <c r="F324" s="3" t="str">
        <f>"Jon Agee"</f>
        <v>Jon Agee</v>
      </c>
      <c r="G324" s="3" t="str">
        <f>"Dial Books for Young Readers"</f>
        <v>Dial Books for Young Readers</v>
      </c>
      <c r="H324" s="2" t="str">
        <f>"2017"</f>
        <v>2017</v>
      </c>
      <c r="I324" s="3" t="str">
        <f>""</f>
        <v/>
      </c>
    </row>
    <row r="325" spans="1:9" x14ac:dyDescent="0.3">
      <c r="A325" s="2">
        <v>324</v>
      </c>
      <c r="B325" s="4" t="s">
        <v>15</v>
      </c>
      <c r="C325" s="3" t="str">
        <f>"TFC000000262"</f>
        <v>TFC000000262</v>
      </c>
      <c r="D325" s="3" t="str">
        <f>"F800-20-0281-(AR 1.4)"</f>
        <v>F800-20-0281-(AR 1.4)</v>
      </c>
      <c r="E325" s="3" t="str">
        <f>"Fly guy meets fly girl"</f>
        <v>Fly guy meets fly girl</v>
      </c>
      <c r="F325" s="3" t="str">
        <f>"Tedd Arnold"</f>
        <v>Tedd Arnold</v>
      </c>
      <c r="G325" s="3" t="str">
        <f>"Cartwheel Books"</f>
        <v>Cartwheel Books</v>
      </c>
      <c r="H325" s="2" t="str">
        <f>"2010"</f>
        <v>2010</v>
      </c>
      <c r="I325" s="3" t="str">
        <f>""</f>
        <v/>
      </c>
    </row>
    <row r="326" spans="1:9" x14ac:dyDescent="0.3">
      <c r="A326" s="2">
        <v>325</v>
      </c>
      <c r="B326" s="4" t="s">
        <v>15</v>
      </c>
      <c r="C326" s="3" t="str">
        <f>"TFC000000263"</f>
        <v>TFC000000263</v>
      </c>
      <c r="D326" s="3" t="str">
        <f>"F800-20-0282-(AR 1.4)"</f>
        <v>F800-20-0282-(AR 1.4)</v>
      </c>
      <c r="E326" s="3" t="str">
        <f>"Fly high, fly guy!"</f>
        <v>Fly high, fly guy!</v>
      </c>
      <c r="F326" s="3" t="str">
        <f>"by Tedd Arnold"</f>
        <v>by Tedd Arnold</v>
      </c>
      <c r="G326" s="3" t="str">
        <f>"Cartwheel Books"</f>
        <v>Cartwheel Books</v>
      </c>
      <c r="H326" s="2" t="str">
        <f>"2008"</f>
        <v>2008</v>
      </c>
      <c r="I326" s="3" t="str">
        <f>""</f>
        <v/>
      </c>
    </row>
    <row r="327" spans="1:9" x14ac:dyDescent="0.3">
      <c r="A327" s="2">
        <v>326</v>
      </c>
      <c r="B327" s="4" t="s">
        <v>15</v>
      </c>
      <c r="C327" s="3" t="str">
        <f>"TFC000000265"</f>
        <v>TFC000000265</v>
      </c>
      <c r="D327" s="3" t="str">
        <f>"F800-20-0284-(AR 1.4)"</f>
        <v>F800-20-0284-(AR 1.4)</v>
      </c>
      <c r="E327" s="3" t="str">
        <f>"(The)water hole"</f>
        <v>(The)water hole</v>
      </c>
      <c r="F327" s="3" t="str">
        <f>"written by Graeme Base"</f>
        <v>written by Graeme Base</v>
      </c>
      <c r="G327" s="3" t="str">
        <f>"Puffin Books"</f>
        <v>Puffin Books</v>
      </c>
      <c r="H327" s="2" t="str">
        <f>"2004"</f>
        <v>2004</v>
      </c>
      <c r="I327" s="3" t="str">
        <f>""</f>
        <v/>
      </c>
    </row>
    <row r="328" spans="1:9" x14ac:dyDescent="0.3">
      <c r="A328" s="2">
        <v>327</v>
      </c>
      <c r="B328" s="4" t="s">
        <v>15</v>
      </c>
      <c r="C328" s="3" t="str">
        <f>"TFC000000266"</f>
        <v>TFC000000266</v>
      </c>
      <c r="D328" s="3" t="str">
        <f>"F800-20-0285-(AR 1.4)"</f>
        <v>F800-20-0285-(AR 1.4)</v>
      </c>
      <c r="E328" s="3" t="str">
        <f>"Where is my balloon?"</f>
        <v>Where is my balloon?</v>
      </c>
      <c r="F328" s="3" t="str">
        <f>"written by Ariel Bernstein ; illustrated by Scott Magoon"</f>
        <v>written by Ariel Bernstein ; illustrated by Scott Magoon</v>
      </c>
      <c r="G328" s="3" t="str">
        <f>"Simon &amp; Schuster Books for Young Readers"</f>
        <v>Simon &amp; Schuster Books for Young Readers</v>
      </c>
      <c r="H328" s="2" t="str">
        <f>"2019"</f>
        <v>2019</v>
      </c>
      <c r="I328" s="3" t="str">
        <f>""</f>
        <v/>
      </c>
    </row>
    <row r="329" spans="1:9" x14ac:dyDescent="0.3">
      <c r="A329" s="2">
        <v>328</v>
      </c>
      <c r="B329" s="4" t="s">
        <v>15</v>
      </c>
      <c r="C329" s="3" t="str">
        <f>"TFC000000267"</f>
        <v>TFC000000267</v>
      </c>
      <c r="D329" s="3" t="str">
        <f>"F800-20-0286-(AR 1.4)"</f>
        <v>F800-20-0286-(AR 1.4)</v>
      </c>
      <c r="E329" s="3" t="str">
        <f>"(The)troublemaker"</f>
        <v>(The)troublemaker</v>
      </c>
      <c r="F329" s="3" t="str">
        <f>"Lauren Castillo"</f>
        <v>Lauren Castillo</v>
      </c>
      <c r="G329" s="3" t="str">
        <f>"Clarion Books"</f>
        <v>Clarion Books</v>
      </c>
      <c r="H329" s="2" t="str">
        <f>"2014"</f>
        <v>2014</v>
      </c>
      <c r="I329" s="3" t="str">
        <f>""</f>
        <v/>
      </c>
    </row>
    <row r="330" spans="1:9" x14ac:dyDescent="0.3">
      <c r="A330" s="2">
        <v>329</v>
      </c>
      <c r="B330" s="4" t="s">
        <v>15</v>
      </c>
      <c r="C330" s="3" t="str">
        <f>"TFC000000268"</f>
        <v>TFC000000268</v>
      </c>
      <c r="D330" s="3" t="str">
        <f>"F800-20-0287-(AR 1.4)"</f>
        <v>F800-20-0287-(AR 1.4)</v>
      </c>
      <c r="E330" s="3" t="str">
        <f>"Five little monkeys jump in the bath"</f>
        <v>Five little monkeys jump in the bath</v>
      </c>
      <c r="F330" s="3" t="str">
        <f>"Eileen Christelow"</f>
        <v>Eileen Christelow</v>
      </c>
      <c r="G330" s="3" t="str">
        <f>"Clarion Books"</f>
        <v>Clarion Books</v>
      </c>
      <c r="H330" s="2" t="str">
        <f>"2012"</f>
        <v>2012</v>
      </c>
      <c r="I330" s="3" t="str">
        <f>""</f>
        <v/>
      </c>
    </row>
    <row r="331" spans="1:9" x14ac:dyDescent="0.3">
      <c r="A331" s="2">
        <v>330</v>
      </c>
      <c r="B331" s="4" t="s">
        <v>15</v>
      </c>
      <c r="C331" s="3" t="str">
        <f>"TFC000000269"</f>
        <v>TFC000000269</v>
      </c>
      <c r="D331" s="3" t="str">
        <f>"F800-20-0288-(AR 1.4)"</f>
        <v>F800-20-0288-(AR 1.4)</v>
      </c>
      <c r="E331" s="3" t="str">
        <f>"Nighttime Ninja"</f>
        <v>Nighttime Ninja</v>
      </c>
      <c r="F331" s="3" t="str">
        <f>"by Barbara DaCosta ; art by Ed Young"</f>
        <v>by Barbara DaCosta ; art by Ed Young</v>
      </c>
      <c r="G331" s="3" t="str">
        <f>"Little, Brown"</f>
        <v>Little, Brown</v>
      </c>
      <c r="H331" s="2" t="str">
        <f>"2012"</f>
        <v>2012</v>
      </c>
      <c r="I331" s="3" t="str">
        <f>""</f>
        <v/>
      </c>
    </row>
    <row r="332" spans="1:9" x14ac:dyDescent="0.3">
      <c r="A332" s="2">
        <v>331</v>
      </c>
      <c r="B332" s="4" t="s">
        <v>15</v>
      </c>
      <c r="C332" s="3" t="str">
        <f>"TFC000000270"</f>
        <v>TFC000000270</v>
      </c>
      <c r="D332" s="3" t="str">
        <f>"F800-20-0289-(AR 1.4)"</f>
        <v>F800-20-0289-(AR 1.4)</v>
      </c>
      <c r="E332" s="3" t="str">
        <f>"What is inside This box?"</f>
        <v>What is inside This box?</v>
      </c>
      <c r="F332" s="3" t="str">
        <f>"written by Drew Daywalt ; illustrated by Olivier Tallec"</f>
        <v>written by Drew Daywalt ; illustrated by Olivier Tallec</v>
      </c>
      <c r="G332" s="3" t="str">
        <f>"Orchard Books"</f>
        <v>Orchard Books</v>
      </c>
      <c r="H332" s="2" t="str">
        <f>"2019"</f>
        <v>2019</v>
      </c>
      <c r="I332" s="3" t="str">
        <f>""</f>
        <v/>
      </c>
    </row>
    <row r="333" spans="1:9" x14ac:dyDescent="0.3">
      <c r="A333" s="2">
        <v>332</v>
      </c>
      <c r="B333" s="4" t="s">
        <v>15</v>
      </c>
      <c r="C333" s="3" t="str">
        <f>"TFC000000271"</f>
        <v>TFC000000271</v>
      </c>
      <c r="D333" s="3" t="str">
        <f>"F800-20-0290-(AR 1.4)"</f>
        <v>F800-20-0290-(AR 1.4)</v>
      </c>
      <c r="E333" s="3" t="str">
        <f>"You don't want a unicorn!"</f>
        <v>You don't want a unicorn!</v>
      </c>
      <c r="F333" s="3" t="str">
        <f>"written by Ame Dyckman ; illustrated by Liz Climo"</f>
        <v>written by Ame Dyckman ; illustrated by Liz Climo</v>
      </c>
      <c r="G333" s="3" t="str">
        <f>"Little, Brown and Company"</f>
        <v>Little, Brown and Company</v>
      </c>
      <c r="H333" s="2" t="str">
        <f>"2017"</f>
        <v>2017</v>
      </c>
      <c r="I333" s="3" t="str">
        <f>""</f>
        <v/>
      </c>
    </row>
    <row r="334" spans="1:9" x14ac:dyDescent="0.3">
      <c r="A334" s="2">
        <v>333</v>
      </c>
      <c r="B334" s="4" t="s">
        <v>15</v>
      </c>
      <c r="C334" s="3" t="str">
        <f>"TFC000000272"</f>
        <v>TFC000000272</v>
      </c>
      <c r="D334" s="3" t="str">
        <f>"F800-20-0291-(AR 1.4)"</f>
        <v>F800-20-0291-(AR 1.4)</v>
      </c>
      <c r="E334" s="3" t="str">
        <f>"There's a monster in your book"</f>
        <v>There's a monster in your book</v>
      </c>
      <c r="F334" s="3" t="str">
        <f>"by Tom Fletcher ; illustrated by Greg Abbott"</f>
        <v>by Tom Fletcher ; illustrated by Greg Abbott</v>
      </c>
      <c r="G334" s="3" t="str">
        <f>"Random House"</f>
        <v>Random House</v>
      </c>
      <c r="H334" s="2" t="str">
        <f>"2017"</f>
        <v>2017</v>
      </c>
      <c r="I334" s="3" t="str">
        <f>""</f>
        <v/>
      </c>
    </row>
    <row r="335" spans="1:9" x14ac:dyDescent="0.3">
      <c r="A335" s="2">
        <v>334</v>
      </c>
      <c r="B335" s="4" t="s">
        <v>15</v>
      </c>
      <c r="C335" s="3" t="str">
        <f>"TFC000000273"</f>
        <v>TFC000000273</v>
      </c>
      <c r="D335" s="3" t="str">
        <f>"F800-20-0292-(AR 1.4)"</f>
        <v>F800-20-0292-(AR 1.4)</v>
      </c>
      <c r="E335" s="3" t="str">
        <f>"(A)dollar of Penny : a math reader"</f>
        <v>(A)dollar of Penny : a math reader</v>
      </c>
      <c r="F335" s="3" t="str">
        <f>"by Julie Glass ; illustrated by Joy Allen"</f>
        <v>by Julie Glass ; illustrated by Joy Allen</v>
      </c>
      <c r="G335" s="3" t="str">
        <f>"Random House"</f>
        <v>Random House</v>
      </c>
      <c r="H335" s="2" t="str">
        <f>"2000"</f>
        <v>2000</v>
      </c>
      <c r="I335" s="3" t="str">
        <f>""</f>
        <v/>
      </c>
    </row>
    <row r="336" spans="1:9" x14ac:dyDescent="0.3">
      <c r="A336" s="2">
        <v>335</v>
      </c>
      <c r="B336" s="4" t="s">
        <v>15</v>
      </c>
      <c r="C336" s="3" t="str">
        <f>"TFC000000274"</f>
        <v>TFC000000274</v>
      </c>
      <c r="D336" s="3" t="str">
        <f>"F800-20-0293-(AR 1.4)"</f>
        <v>F800-20-0293-(AR 1.4)</v>
      </c>
      <c r="E336" s="3" t="str">
        <f>"Dad's run"</f>
        <v>Dad's run</v>
      </c>
      <c r="F336" s="3" t="str">
        <f>"written by Roderick Hunt ; illustrated by Alex Brychta"</f>
        <v>written by Roderick Hunt ; illustrated by Alex Brychta</v>
      </c>
      <c r="G336" s="3" t="str">
        <f>"Oxford University Press"</f>
        <v>Oxford University Press</v>
      </c>
      <c r="H336" s="2" t="str">
        <f>"2011"</f>
        <v>2011</v>
      </c>
      <c r="I336" s="3" t="str">
        <f>""</f>
        <v/>
      </c>
    </row>
    <row r="337" spans="1:9" x14ac:dyDescent="0.3">
      <c r="A337" s="2">
        <v>336</v>
      </c>
      <c r="B337" s="4" t="s">
        <v>15</v>
      </c>
      <c r="C337" s="3" t="str">
        <f>"TFC000000275"</f>
        <v>TFC000000275</v>
      </c>
      <c r="D337" s="3" t="str">
        <f>"F800-20-0294-(AR 1.4)"</f>
        <v>F800-20-0294-(AR 1.4)</v>
      </c>
      <c r="E337" s="3" t="str">
        <f>"Gran"</f>
        <v>Gran</v>
      </c>
      <c r="F337" s="3" t="str">
        <f>"written by Roderick Hunt ; illustrated by Alex Brychta"</f>
        <v>written by Roderick Hunt ; illustrated by Alex Brychta</v>
      </c>
      <c r="G337" s="3" t="str">
        <f>"Oxford University Press"</f>
        <v>Oxford University Press</v>
      </c>
      <c r="H337" s="2" t="str">
        <f>"2011"</f>
        <v>2011</v>
      </c>
      <c r="I337" s="3" t="str">
        <f>""</f>
        <v/>
      </c>
    </row>
    <row r="338" spans="1:9" x14ac:dyDescent="0.3">
      <c r="A338" s="2">
        <v>337</v>
      </c>
      <c r="B338" s="4" t="s">
        <v>15</v>
      </c>
      <c r="C338" s="3" t="str">
        <f>"TFC000000276"</f>
        <v>TFC000000276</v>
      </c>
      <c r="D338" s="3" t="str">
        <f>"F800-20-0295-(AR 1.4)"</f>
        <v>F800-20-0295-(AR 1.4)</v>
      </c>
      <c r="E338" s="3" t="str">
        <f>"Pirate adventure"</f>
        <v>Pirate adventure</v>
      </c>
      <c r="F338" s="3" t="str">
        <f>"written by Roderick Hunt ; illustrated by Alex Brychta"</f>
        <v>written by Roderick Hunt ; illustrated by Alex Brychta</v>
      </c>
      <c r="G338" s="3" t="str">
        <f>"Oxford University Press"</f>
        <v>Oxford University Press</v>
      </c>
      <c r="H338" s="2" t="str">
        <f>"2011"</f>
        <v>2011</v>
      </c>
      <c r="I338" s="3" t="str">
        <f>""</f>
        <v/>
      </c>
    </row>
    <row r="339" spans="1:9" x14ac:dyDescent="0.3">
      <c r="A339" s="2">
        <v>338</v>
      </c>
      <c r="B339" s="4" t="s">
        <v>15</v>
      </c>
      <c r="C339" s="3" t="str">
        <f>"TFC000000277"</f>
        <v>TFC000000277</v>
      </c>
      <c r="D339" s="3" t="str">
        <f>"F800-20-0296-(AR 1.4)"</f>
        <v>F800-20-0296-(AR 1.4)</v>
      </c>
      <c r="E339" s="3" t="str">
        <f>"Safari adventure"</f>
        <v>Safari adventure</v>
      </c>
      <c r="F339" s="3" t="str">
        <f>"written by Roderick Hunt ; illustrated by Alex Brychta"</f>
        <v>written by Roderick Hunt ; illustrated by Alex Brychta</v>
      </c>
      <c r="G339" s="3" t="str">
        <f>"Oxford University Press"</f>
        <v>Oxford University Press</v>
      </c>
      <c r="H339" s="2" t="str">
        <f>"2011"</f>
        <v>2011</v>
      </c>
      <c r="I339" s="3" t="str">
        <f>""</f>
        <v/>
      </c>
    </row>
    <row r="340" spans="1:9" x14ac:dyDescent="0.3">
      <c r="A340" s="2">
        <v>339</v>
      </c>
      <c r="B340" s="4" t="s">
        <v>15</v>
      </c>
      <c r="C340" s="3" t="str">
        <f>"TFC000000278"</f>
        <v>TFC000000278</v>
      </c>
      <c r="D340" s="3" t="str">
        <f>"F800-20-0297-(AR 1.4)"</f>
        <v>F800-20-0297-(AR 1.4)</v>
      </c>
      <c r="E340" s="3" t="str">
        <f>"Scarecrows"</f>
        <v>Scarecrows</v>
      </c>
      <c r="F340" s="3" t="str">
        <f>"written by Roderick Hunt ; illustrated by Alex Brychta"</f>
        <v>written by Roderick Hunt ; illustrated by Alex Brychta</v>
      </c>
      <c r="G340" s="3" t="str">
        <f>"Oxford University Press"</f>
        <v>Oxford University Press</v>
      </c>
      <c r="H340" s="2" t="str">
        <f>"2011"</f>
        <v>2011</v>
      </c>
      <c r="I340" s="3" t="str">
        <f>""</f>
        <v/>
      </c>
    </row>
    <row r="341" spans="1:9" x14ac:dyDescent="0.3">
      <c r="A341" s="2">
        <v>340</v>
      </c>
      <c r="B341" s="4" t="s">
        <v>15</v>
      </c>
      <c r="C341" s="3" t="str">
        <f>"TFC000000279"</f>
        <v>TFC000000279</v>
      </c>
      <c r="D341" s="3" t="str">
        <f>"F800-20-0298-(AR 1.4)"</f>
        <v>F800-20-0298-(AR 1.4)</v>
      </c>
      <c r="E341" s="3" t="str">
        <f>"Peanut"</f>
        <v>Peanut</v>
      </c>
      <c r="F341" s="3" t="str">
        <f>"by Heidi Kilgras ; illustrated by Mike Reed"</f>
        <v>by Heidi Kilgras ; illustrated by Mike Reed</v>
      </c>
      <c r="G341" s="3" t="str">
        <f>"Random House"</f>
        <v>Random House</v>
      </c>
      <c r="H341" s="2" t="str">
        <f>"2003"</f>
        <v>2003</v>
      </c>
      <c r="I341" s="3" t="str">
        <f>""</f>
        <v/>
      </c>
    </row>
    <row r="342" spans="1:9" x14ac:dyDescent="0.3">
      <c r="A342" s="2">
        <v>341</v>
      </c>
      <c r="B342" s="4" t="s">
        <v>15</v>
      </c>
      <c r="C342" s="3" t="str">
        <f>"TFC000000280"</f>
        <v>TFC000000280</v>
      </c>
      <c r="D342" s="3" t="str">
        <f>"F800-20-0299-(AR 1.4)"</f>
        <v>F800-20-0299-(AR 1.4)</v>
      </c>
      <c r="E342" s="3" t="str">
        <f>"Eloise and the dinosaurs"</f>
        <v>Eloise and the dinosaurs</v>
      </c>
      <c r="F342" s="3" t="str">
        <f>"story by Lisa McClatchy ; illustrated by Tammie Lyon"</f>
        <v>story by Lisa McClatchy ; illustrated by Tammie Lyon</v>
      </c>
      <c r="G342" s="3" t="str">
        <f>"Simon &amp; Schuster"</f>
        <v>Simon &amp; Schuster</v>
      </c>
      <c r="H342" s="2" t="str">
        <f>"2017"</f>
        <v>2017</v>
      </c>
      <c r="I342" s="3" t="str">
        <f>""</f>
        <v/>
      </c>
    </row>
    <row r="343" spans="1:9" x14ac:dyDescent="0.3">
      <c r="A343" s="2">
        <v>342</v>
      </c>
      <c r="B343" s="4" t="s">
        <v>15</v>
      </c>
      <c r="C343" s="3" t="str">
        <f>"TFC000000281"</f>
        <v>TFC000000281</v>
      </c>
      <c r="D343" s="3" t="str">
        <f>"F800-20-0300-(AR 1.4)"</f>
        <v>F800-20-0300-(AR 1.4)</v>
      </c>
      <c r="E343" s="3" t="str">
        <f>"Eloise at the wedding"</f>
        <v>Eloise at the wedding</v>
      </c>
      <c r="F343" s="3" t="str">
        <f>"story by Margaret McNamara ; illustrated by Tammie Lyon"</f>
        <v>story by Margaret McNamara ; illustrated by Tammie Lyon</v>
      </c>
      <c r="G343" s="3" t="str">
        <f>"Aladdin Paperbacks"</f>
        <v>Aladdin Paperbacks</v>
      </c>
      <c r="H343" s="2" t="str">
        <f>"2006"</f>
        <v>2006</v>
      </c>
      <c r="I343" s="3" t="str">
        <f>""</f>
        <v/>
      </c>
    </row>
    <row r="344" spans="1:9" x14ac:dyDescent="0.3">
      <c r="A344" s="2">
        <v>343</v>
      </c>
      <c r="B344" s="4" t="s">
        <v>15</v>
      </c>
      <c r="C344" s="3" t="str">
        <f>"TFC000000283"</f>
        <v>TFC000000283</v>
      </c>
      <c r="D344" s="3" t="str">
        <f>"F800-20-0302-(AR 1.4)"</f>
        <v>F800-20-0302-(AR 1.4)</v>
      </c>
      <c r="E344" s="3" t="str">
        <f>"(A)penguin story"</f>
        <v>(A)penguin story</v>
      </c>
      <c r="F344" s="3" t="str">
        <f>"Antoinette Portis"</f>
        <v>Antoinette Portis</v>
      </c>
      <c r="G344" s="3" t="str">
        <f>"HarperCollins"</f>
        <v>HarperCollins</v>
      </c>
      <c r="H344" s="2" t="str">
        <f>"2009"</f>
        <v>2009</v>
      </c>
      <c r="I344" s="3" t="str">
        <f>""</f>
        <v/>
      </c>
    </row>
    <row r="345" spans="1:9" x14ac:dyDescent="0.3">
      <c r="A345" s="2">
        <v>344</v>
      </c>
      <c r="B345" s="4" t="s">
        <v>15</v>
      </c>
      <c r="C345" s="3" t="str">
        <f>"TFC000000284"</f>
        <v>TFC000000284</v>
      </c>
      <c r="D345" s="3" t="str">
        <f>"F800-20-0303-(AR 1.4)"</f>
        <v>F800-20-0303-(AR 1.4)</v>
      </c>
      <c r="E345" s="3" t="str">
        <f>"(The)boy who wouldn't share"</f>
        <v>(The)boy who wouldn't share</v>
      </c>
      <c r="F345" s="3" t="str">
        <f>"by Mike Reiss ; illustrated by David Catrow"</f>
        <v>by Mike Reiss ; illustrated by David Catrow</v>
      </c>
      <c r="G345" s="3" t="str">
        <f>"HarperCollins"</f>
        <v>HarperCollins</v>
      </c>
      <c r="H345" s="2" t="str">
        <f>"2008"</f>
        <v>2008</v>
      </c>
      <c r="I345" s="3" t="str">
        <f>""</f>
        <v/>
      </c>
    </row>
    <row r="346" spans="1:9" x14ac:dyDescent="0.3">
      <c r="A346" s="2">
        <v>345</v>
      </c>
      <c r="B346" s="4" t="s">
        <v>15</v>
      </c>
      <c r="C346" s="3" t="str">
        <f>"TFC000000285"</f>
        <v>TFC000000285</v>
      </c>
      <c r="D346" s="3" t="str">
        <f>"F800-20-0304-(AR 1.4)"</f>
        <v>F800-20-0304-(AR 1.4)</v>
      </c>
      <c r="E346" s="3" t="str">
        <f>"Harold &amp; Hog pretend for real!"</f>
        <v>Harold &amp; Hog pretend for real!</v>
      </c>
      <c r="F346" s="3" t="str">
        <f>"by Dan Santat, Mo Willems"</f>
        <v>by Dan Santat, Mo Willems</v>
      </c>
      <c r="G346" s="3" t="str">
        <f>"Hyperion Books for Children"</f>
        <v>Hyperion Books for Children</v>
      </c>
      <c r="H346" s="2" t="str">
        <f>"2019"</f>
        <v>2019</v>
      </c>
      <c r="I346" s="3" t="str">
        <f>""</f>
        <v/>
      </c>
    </row>
    <row r="347" spans="1:9" x14ac:dyDescent="0.3">
      <c r="A347" s="2">
        <v>346</v>
      </c>
      <c r="B347" s="4" t="s">
        <v>15</v>
      </c>
      <c r="C347" s="3" t="str">
        <f>"TFC000000286"</f>
        <v>TFC000000286</v>
      </c>
      <c r="D347" s="3" t="str">
        <f>"F800-20-0305-(AR 1.4)"</f>
        <v>F800-20-0305-(AR 1.4)</v>
      </c>
      <c r="E347" s="3" t="str">
        <f>"(An)Island grows"</f>
        <v>(An)Island grows</v>
      </c>
      <c r="F347" s="3" t="str">
        <f>"by Lola M. Schaefer ; illustrated by Cathie Felstead"</f>
        <v>by Lola M. Schaefer ; illustrated by Cathie Felstead</v>
      </c>
      <c r="G347" s="3" t="str">
        <f>"Greenwillow Books"</f>
        <v>Greenwillow Books</v>
      </c>
      <c r="H347" s="2" t="str">
        <f>"2006"</f>
        <v>2006</v>
      </c>
      <c r="I347" s="3" t="str">
        <f>""</f>
        <v/>
      </c>
    </row>
    <row r="348" spans="1:9" x14ac:dyDescent="0.3">
      <c r="A348" s="2">
        <v>347</v>
      </c>
      <c r="B348" s="4" t="s">
        <v>15</v>
      </c>
      <c r="C348" s="3" t="str">
        <f>"TFC000000287"</f>
        <v>TFC000000287</v>
      </c>
      <c r="D348" s="3" t="str">
        <f>"F800-20-0306-(AR 1.4)"</f>
        <v>F800-20-0306-(AR 1.4)</v>
      </c>
      <c r="E348" s="3" t="str">
        <f>"Mouse's first fall"</f>
        <v>Mouse's first fall</v>
      </c>
      <c r="F348" s="3" t="str">
        <f>"Lauren Thompson ; illustrated by Buket Erdogan"</f>
        <v>Lauren Thompson ; illustrated by Buket Erdogan</v>
      </c>
      <c r="G348" s="3" t="str">
        <f>"Simon ＆ Schuster Books for Young Readers"</f>
        <v>Simon ＆ Schuster Books for Young Readers</v>
      </c>
      <c r="H348" s="2" t="str">
        <f>"2006"</f>
        <v>2006</v>
      </c>
      <c r="I348" s="3" t="str">
        <f>""</f>
        <v/>
      </c>
    </row>
    <row r="349" spans="1:9" x14ac:dyDescent="0.3">
      <c r="A349" s="2">
        <v>348</v>
      </c>
      <c r="B349" s="4" t="s">
        <v>15</v>
      </c>
      <c r="C349" s="3" t="str">
        <f>"TFC000000288"</f>
        <v>TFC000000288</v>
      </c>
      <c r="D349" s="3" t="str">
        <f>"F800-20-0307-(AR 1.4)"</f>
        <v>F800-20-0307-(AR 1.4)</v>
      </c>
      <c r="E349" s="3" t="str">
        <f>"Look out, ladybug"</f>
        <v>Look out, ladybug</v>
      </c>
      <c r="F349" s="3" t="str">
        <f>"by Jack Tickle"</f>
        <v>by Jack Tickle</v>
      </c>
      <c r="G349" s="3" t="str">
        <f>"Tiger Tales"</f>
        <v>Tiger Tales</v>
      </c>
      <c r="H349" s="2" t="str">
        <f>"2013"</f>
        <v>2013</v>
      </c>
      <c r="I349" s="3" t="str">
        <f>""</f>
        <v/>
      </c>
    </row>
    <row r="350" spans="1:9" x14ac:dyDescent="0.3">
      <c r="A350" s="2">
        <v>349</v>
      </c>
      <c r="B350" s="4" t="s">
        <v>15</v>
      </c>
      <c r="C350" s="3" t="str">
        <f>"TFC000000289"</f>
        <v>TFC000000289</v>
      </c>
      <c r="D350" s="3" t="str">
        <f>"F800-20-0308-(AR 1.4)"</f>
        <v>F800-20-0308-(AR 1.4)</v>
      </c>
      <c r="E350" s="3" t="str">
        <f>"Bear sees colors"</f>
        <v>Bear sees colors</v>
      </c>
      <c r="F350" s="3" t="str">
        <f>"Karma Wilson ; illustrations by Jane Chapman"</f>
        <v>Karma Wilson ; illustrations by Jane Chapman</v>
      </c>
      <c r="G350" s="3" t="str">
        <f>"Margaret K. McElderry Books"</f>
        <v>Margaret K. McElderry Books</v>
      </c>
      <c r="H350" s="2" t="str">
        <f>"2014"</f>
        <v>2014</v>
      </c>
      <c r="I350" s="3" t="str">
        <f>""</f>
        <v/>
      </c>
    </row>
    <row r="351" spans="1:9" x14ac:dyDescent="0.3">
      <c r="A351" s="2">
        <v>350</v>
      </c>
      <c r="B351" s="4" t="s">
        <v>15</v>
      </c>
      <c r="C351" s="3" t="str">
        <f>"TFC000002933"</f>
        <v>TFC000002933</v>
      </c>
      <c r="D351" s="3" t="str">
        <f>"F800-20-0309-(AR 1.4)"</f>
        <v>F800-20-0309-(AR 1.4)</v>
      </c>
      <c r="E351" s="3" t="str">
        <f>"(The)great race"</f>
        <v>(The)great race</v>
      </c>
      <c r="F351" s="3" t="str">
        <f>"written by Roderick Hunt ; illustrated by Alex Brychta"</f>
        <v>written by Roderick Hunt ; illustrated by Alex Brychta</v>
      </c>
      <c r="G351" s="3" t="str">
        <f>"Oxford University Press"</f>
        <v>Oxford University Press</v>
      </c>
      <c r="H351" s="2" t="str">
        <f>"2011"</f>
        <v>2011</v>
      </c>
      <c r="I351" s="3" t="str">
        <f>""</f>
        <v/>
      </c>
    </row>
    <row r="352" spans="1:9" x14ac:dyDescent="0.3">
      <c r="A352" s="2">
        <v>351</v>
      </c>
      <c r="B352" s="4" t="s">
        <v>15</v>
      </c>
      <c r="C352" s="3" t="str">
        <f>"TFC000003282"</f>
        <v>TFC000003282</v>
      </c>
      <c r="D352" s="3" t="str">
        <f>"F400-21-0051-(AR 1.4)"</f>
        <v>F400-21-0051-(AR 1.4)</v>
      </c>
      <c r="E352" s="3" t="str">
        <f>"Baby goats"</f>
        <v>Baby goats</v>
      </c>
      <c r="F352" s="3" t="str">
        <f>"by Spencer Brinker"</f>
        <v>by Spencer Brinker</v>
      </c>
      <c r="G352" s="3" t="str">
        <f>"Bearport Publishing Company"</f>
        <v>Bearport Publishing Company</v>
      </c>
      <c r="H352" s="2" t="str">
        <f>"2021"</f>
        <v>2021</v>
      </c>
      <c r="I352" s="3" t="str">
        <f>""</f>
        <v/>
      </c>
    </row>
    <row r="353" spans="1:9" x14ac:dyDescent="0.3">
      <c r="A353" s="2">
        <v>352</v>
      </c>
      <c r="B353" s="4" t="s">
        <v>15</v>
      </c>
      <c r="C353" s="3" t="str">
        <f>"TFC000003697"</f>
        <v>TFC000003697</v>
      </c>
      <c r="D353" s="3" t="str">
        <f>"F800-21-0057-(AR 1.4)"</f>
        <v>F800-21-0057-(AR 1.4)</v>
      </c>
      <c r="E353" s="3" t="str">
        <f>"Mel fell"</f>
        <v>Mel fell</v>
      </c>
      <c r="F353" s="3" t="str">
        <f>"by Corey R. Tabor"</f>
        <v>by Corey R. Tabor</v>
      </c>
      <c r="G353" s="3" t="str">
        <f>"Harper Collins"</f>
        <v>Harper Collins</v>
      </c>
      <c r="H353" s="2" t="str">
        <f>"2021"</f>
        <v>2021</v>
      </c>
      <c r="I353" s="3" t="str">
        <f>""</f>
        <v/>
      </c>
    </row>
    <row r="354" spans="1:9" x14ac:dyDescent="0.3">
      <c r="A354" s="2">
        <v>353</v>
      </c>
      <c r="B354" s="4" t="s">
        <v>15</v>
      </c>
      <c r="C354" s="3" t="str">
        <f>"TFC000003799"</f>
        <v>TFC000003799</v>
      </c>
      <c r="D354" s="3" t="str">
        <f>"F800-21-0987-(AR 1.4)"</f>
        <v>F800-21-0987-(AR 1.4)</v>
      </c>
      <c r="E354" s="3" t="str">
        <f>"Maybe…"</f>
        <v>Maybe…</v>
      </c>
      <c r="F354" s="3" t="str">
        <f>"by Chris Haughton"</f>
        <v>by Chris Haughton</v>
      </c>
      <c r="G354" s="3" t="str">
        <f>"Walker Books"</f>
        <v>Walker Books</v>
      </c>
      <c r="H354" s="2" t="str">
        <f>"2021"</f>
        <v>2021</v>
      </c>
      <c r="I354" s="3" t="str">
        <f>""</f>
        <v/>
      </c>
    </row>
    <row r="355" spans="1:9" x14ac:dyDescent="0.3">
      <c r="A355" s="2">
        <v>354</v>
      </c>
      <c r="B355" s="4" t="s">
        <v>15</v>
      </c>
      <c r="C355" s="3" t="str">
        <f>"TFC000003908"</f>
        <v>TFC000003908</v>
      </c>
      <c r="D355" s="3" t="str">
        <f>"F800-21-0058-(AR 1.4)"</f>
        <v>F800-21-0058-(AR 1.4)</v>
      </c>
      <c r="E355" s="3" t="str">
        <f>"(The)Bug in the bog"</f>
        <v>(The)Bug in the bog</v>
      </c>
      <c r="F355" s="3" t="str">
        <f>"by Jonathan Fenske"</f>
        <v>by Jonathan Fenske</v>
      </c>
      <c r="G355" s="3" t="str">
        <f>"Simon Spotlight"</f>
        <v>Simon Spotlight</v>
      </c>
      <c r="H355" s="2" t="str">
        <f>"2020"</f>
        <v>2020</v>
      </c>
      <c r="I355" s="3" t="str">
        <f>""</f>
        <v/>
      </c>
    </row>
    <row r="356" spans="1:9" x14ac:dyDescent="0.3">
      <c r="A356" s="2">
        <v>355</v>
      </c>
      <c r="B356" s="4" t="s">
        <v>15</v>
      </c>
      <c r="C356" s="3" t="str">
        <f>"TFC000004923"</f>
        <v>TFC000004923</v>
      </c>
      <c r="D356" s="3" t="str">
        <f>"F800-23-0027-(AR1.4)"</f>
        <v>F800-23-0027-(AR1.4)</v>
      </c>
      <c r="E356" s="3" t="str">
        <f>"When Sophie gets angry - really, really angry…"</f>
        <v>When Sophie gets angry - really, really angry…</v>
      </c>
      <c r="F356" s="3" t="str">
        <f>"by Molly Bang"</f>
        <v>by Molly Bang</v>
      </c>
      <c r="G356" s="3" t="str">
        <f>"Scholastic"</f>
        <v>Scholastic</v>
      </c>
      <c r="H356" s="2" t="str">
        <f>"2004"</f>
        <v>2004</v>
      </c>
      <c r="I356" s="3" t="str">
        <f>""</f>
        <v/>
      </c>
    </row>
    <row r="357" spans="1:9" x14ac:dyDescent="0.3">
      <c r="A357" s="2">
        <v>356</v>
      </c>
      <c r="B357" s="4" t="s">
        <v>15</v>
      </c>
      <c r="C357" s="3" t="str">
        <f>"TFC000004363"</f>
        <v>TFC000004363</v>
      </c>
      <c r="D357" s="3" t="str">
        <f>"F800-22-0172-(AR1.4)"</f>
        <v>F800-22-0172-(AR1.4)</v>
      </c>
      <c r="E357" s="3" t="str">
        <f>"What Does An Anteater Eat?"</f>
        <v>What Does An Anteater Eat?</v>
      </c>
      <c r="F357" s="3" t="str">
        <f>"by Ross Collins"</f>
        <v>by Ross Collins</v>
      </c>
      <c r="G357" s="3" t="str">
        <f>"Nosy Crow"</f>
        <v>Nosy Crow</v>
      </c>
      <c r="H357" s="2" t="str">
        <f>"2020"</f>
        <v>2020</v>
      </c>
      <c r="I357" s="3" t="str">
        <f>""</f>
        <v/>
      </c>
    </row>
    <row r="358" spans="1:9" x14ac:dyDescent="0.3">
      <c r="A358" s="2">
        <v>357</v>
      </c>
      <c r="B358" s="4" t="s">
        <v>15</v>
      </c>
      <c r="C358" s="3" t="str">
        <f>"TFC000004335"</f>
        <v>TFC000004335</v>
      </c>
      <c r="D358" s="3" t="str">
        <f>"F800-22-0144-(AR1.4)"</f>
        <v>F800-22-0144-(AR1.4)</v>
      </c>
      <c r="E358" s="3" t="str">
        <f>"Tiz &amp; Ott's Big Draw"</f>
        <v>Tiz &amp; Ott's Big Draw</v>
      </c>
      <c r="F358" s="3" t="str">
        <f>"by Bridget Marzo"</f>
        <v>by Bridget Marzo</v>
      </c>
      <c r="G358" s="3" t="str">
        <f>"Tate Publishing"</f>
        <v>Tate Publishing</v>
      </c>
      <c r="H358" s="2" t="str">
        <f>"2015"</f>
        <v>2015</v>
      </c>
      <c r="I358" s="3" t="str">
        <f>""</f>
        <v/>
      </c>
    </row>
    <row r="359" spans="1:9" x14ac:dyDescent="0.3">
      <c r="A359" s="2">
        <v>358</v>
      </c>
      <c r="B359" s="4" t="s">
        <v>15</v>
      </c>
      <c r="C359" s="3" t="str">
        <f>"TFC000004644"</f>
        <v>TFC000004644</v>
      </c>
      <c r="D359" s="3" t="str">
        <f>"F800-22-0453-(AR1.4)"</f>
        <v>F800-22-0453-(AR1.4)</v>
      </c>
      <c r="E359" s="3" t="str">
        <f>"(A)kid is a kid is a kid"</f>
        <v>(A)kid is a kid is a kid</v>
      </c>
      <c r="F359" s="3" t="str">
        <f>"written by Sara O'Leary, illustrated by Qin Leng"</f>
        <v>written by Sara O'Leary, illustrated by Qin Leng</v>
      </c>
      <c r="G359" s="3" t="str">
        <f>"Groundwood Books(House of Anansi Press)"</f>
        <v>Groundwood Books(House of Anansi Press)</v>
      </c>
      <c r="H359" s="2" t="str">
        <f>"2021"</f>
        <v>2021</v>
      </c>
      <c r="I359" s="3" t="str">
        <f>""</f>
        <v/>
      </c>
    </row>
    <row r="360" spans="1:9" x14ac:dyDescent="0.3">
      <c r="A360" s="2">
        <v>359</v>
      </c>
      <c r="B360" s="4" t="s">
        <v>15</v>
      </c>
      <c r="C360" s="3" t="str">
        <f>"TFC000004922"</f>
        <v>TFC000004922</v>
      </c>
      <c r="D360" s="3" t="str">
        <f>"F800-23-0026-(AR1.4)"</f>
        <v>F800-23-0026-(AR1.4)</v>
      </c>
      <c r="E360" s="3" t="str">
        <f>"Just me and my dad"</f>
        <v>Just me and my dad</v>
      </c>
      <c r="F360" s="3" t="str">
        <f>"by Mercer Mayer"</f>
        <v>by Mercer Mayer</v>
      </c>
      <c r="G360" s="3" t="str">
        <f>"Random House"</f>
        <v>Random House</v>
      </c>
      <c r="H360" s="2" t="str">
        <f>"1977"</f>
        <v>1977</v>
      </c>
      <c r="I360" s="3" t="str">
        <f>""</f>
        <v/>
      </c>
    </row>
    <row r="361" spans="1:9" x14ac:dyDescent="0.3">
      <c r="A361" s="2">
        <v>360</v>
      </c>
      <c r="B361" s="4" t="s">
        <v>15</v>
      </c>
      <c r="C361" s="3" t="str">
        <f>"TFC000004913"</f>
        <v>TFC000004913</v>
      </c>
      <c r="D361" s="3" t="str">
        <f>"F800-23-0017-(AR1.4)"</f>
        <v>F800-23-0017-(AR1.4)</v>
      </c>
      <c r="E361" s="3" t="str">
        <f>"Biscuit"</f>
        <v>Biscuit</v>
      </c>
      <c r="F361" s="3" t="str">
        <f>"by Alyssa Satin Capucilli, pictures by Pat Schories"</f>
        <v>by Alyssa Satin Capucilli, pictures by Pat Schories</v>
      </c>
      <c r="G361" s="3" t="str">
        <f>"HarperCollins"</f>
        <v>HarperCollins</v>
      </c>
      <c r="H361" s="2" t="str">
        <f>"1996"</f>
        <v>1996</v>
      </c>
      <c r="I361" s="3" t="str">
        <f>""</f>
        <v/>
      </c>
    </row>
    <row r="362" spans="1:9" x14ac:dyDescent="0.3">
      <c r="A362" s="2">
        <v>361</v>
      </c>
      <c r="B362" s="4" t="s">
        <v>16</v>
      </c>
      <c r="C362" s="3" t="str">
        <f>"TFC000000292"</f>
        <v>TFC000000292</v>
      </c>
      <c r="D362" s="3" t="str">
        <f>"F800-20-0312-(AR 1.5)"</f>
        <v>F800-20-0312-(AR 1.5)</v>
      </c>
      <c r="E362" s="3" t="str">
        <f>"Walking through the jungle"</f>
        <v>Walking through the jungle</v>
      </c>
      <c r="F362" s="3" t="str">
        <f>"text by Barefoot Books ; illustrated by Debbie Harter ; sung by Fred Penner"</f>
        <v>text by Barefoot Books ; illustrated by Debbie Harter ; sung by Fred Penner</v>
      </c>
      <c r="G362" s="3" t="str">
        <f>"Barefoot Books"</f>
        <v>Barefoot Books</v>
      </c>
      <c r="H362" s="2" t="str">
        <f>"2011"</f>
        <v>2011</v>
      </c>
      <c r="I362" s="2" t="s">
        <v>2</v>
      </c>
    </row>
    <row r="363" spans="1:9" x14ac:dyDescent="0.3">
      <c r="A363" s="2">
        <v>362</v>
      </c>
      <c r="B363" s="4" t="s">
        <v>16</v>
      </c>
      <c r="C363" s="3" t="str">
        <f>"TFC000000290"</f>
        <v>TFC000000290</v>
      </c>
      <c r="D363" s="3" t="str">
        <f>"F400-20-0310-(AR 1.5)"</f>
        <v>F400-20-0310-(AR 1.5)</v>
      </c>
      <c r="E363" s="3" t="str">
        <f>"Rabbit's pajama party"</f>
        <v>Rabbit's pajama party</v>
      </c>
      <c r="F363" s="3" t="str">
        <f>"by Stuart J. Murphy ; illustrated by Frank Remkiewicz"</f>
        <v>by Stuart J. Murphy ; illustrated by Frank Remkiewicz</v>
      </c>
      <c r="G363" s="3" t="str">
        <f>"HarperCollins"</f>
        <v>HarperCollins</v>
      </c>
      <c r="H363" s="2" t="str">
        <f>"1999"</f>
        <v>1999</v>
      </c>
      <c r="I363" s="3" t="str">
        <f>""</f>
        <v/>
      </c>
    </row>
    <row r="364" spans="1:9" x14ac:dyDescent="0.3">
      <c r="A364" s="2">
        <v>363</v>
      </c>
      <c r="B364" s="4" t="s">
        <v>16</v>
      </c>
      <c r="C364" s="3" t="str">
        <f>"TFC000000293"</f>
        <v>TFC000000293</v>
      </c>
      <c r="D364" s="3" t="str">
        <f>"F800-20-0313-(AR 1.5)"</f>
        <v>F800-20-0313-(AR 1.5)</v>
      </c>
      <c r="E364" s="3" t="str">
        <f>"(The)berenstain bears by the sea"</f>
        <v>(The)berenstain bears by the sea</v>
      </c>
      <c r="F364" s="3" t="str">
        <f>"by Stan Berenstain ; Jan Berenstain"</f>
        <v>by Stan Berenstain ; Jan Berenstain</v>
      </c>
      <c r="G364" s="3" t="str">
        <f>"Random House"</f>
        <v>Random House</v>
      </c>
      <c r="H364" s="2" t="str">
        <f>"1998"</f>
        <v>1998</v>
      </c>
      <c r="I364" s="3" t="str">
        <f>""</f>
        <v/>
      </c>
    </row>
    <row r="365" spans="1:9" x14ac:dyDescent="0.3">
      <c r="A365" s="2">
        <v>364</v>
      </c>
      <c r="B365" s="4" t="s">
        <v>16</v>
      </c>
      <c r="C365" s="3" t="str">
        <f>"TFC000000295"</f>
        <v>TFC000000295</v>
      </c>
      <c r="D365" s="3" t="str">
        <f>"F800-20-0315-(AR 1.5)"</f>
        <v>F800-20-0315-(AR 1.5)</v>
      </c>
      <c r="E365" s="3" t="str">
        <f>"Willie's wonderful pet"</f>
        <v>Willie's wonderful pet</v>
      </c>
      <c r="F365" s="3" t="str">
        <f>"by Mel Cebulash ; illustrated by George Ford"</f>
        <v>by Mel Cebulash ; illustrated by George Ford</v>
      </c>
      <c r="G365" s="3" t="str">
        <f>"Scholastic"</f>
        <v>Scholastic</v>
      </c>
      <c r="H365" s="2" t="str">
        <f>"2003"</f>
        <v>2003</v>
      </c>
      <c r="I365" s="3" t="str">
        <f>""</f>
        <v/>
      </c>
    </row>
    <row r="366" spans="1:9" x14ac:dyDescent="0.3">
      <c r="A366" s="2">
        <v>365</v>
      </c>
      <c r="B366" s="4" t="s">
        <v>16</v>
      </c>
      <c r="C366" s="3" t="str">
        <f>"TFC000000296"</f>
        <v>TFC000000296</v>
      </c>
      <c r="D366" s="3" t="str">
        <f>"F800-20-0316-(AR 1.5)"</f>
        <v>F800-20-0316-(AR 1.5)</v>
      </c>
      <c r="E366" s="3" t="str">
        <f>"Five Silly Fishermen"</f>
        <v>Five Silly Fishermen</v>
      </c>
      <c r="F366" s="3" t="str">
        <f>"by Roberta Edwards ; illustrated by Sylvie Wickstrom"</f>
        <v>by Roberta Edwards ; illustrated by Sylvie Wickstrom</v>
      </c>
      <c r="G366" s="3" t="str">
        <f>"Random House"</f>
        <v>Random House</v>
      </c>
      <c r="H366" s="2" t="str">
        <f>"2005"</f>
        <v>2005</v>
      </c>
      <c r="I366" s="3" t="str">
        <f>""</f>
        <v/>
      </c>
    </row>
    <row r="367" spans="1:9" x14ac:dyDescent="0.3">
      <c r="A367" s="2">
        <v>366</v>
      </c>
      <c r="B367" s="4" t="s">
        <v>16</v>
      </c>
      <c r="C367" s="3" t="str">
        <f>"TFC000000297"</f>
        <v>TFC000000297</v>
      </c>
      <c r="D367" s="3" t="str">
        <f>"F800-20-0317-(AR 1.5)"</f>
        <v>F800-20-0317-(AR 1.5)</v>
      </c>
      <c r="E367" s="3" t="str">
        <f>"(The)Trek"</f>
        <v>(The)Trek</v>
      </c>
      <c r="F367" s="3" t="str">
        <f>"Ann Jonas"</f>
        <v>Ann Jonas</v>
      </c>
      <c r="G367" s="3" t="str">
        <f>"Mulberry Paperback Books"</f>
        <v>Mulberry Paperback Books</v>
      </c>
      <c r="H367" s="2" t="str">
        <f>"1989"</f>
        <v>1989</v>
      </c>
      <c r="I367" s="3" t="str">
        <f>""</f>
        <v/>
      </c>
    </row>
    <row r="368" spans="1:9" x14ac:dyDescent="0.3">
      <c r="A368" s="2">
        <v>367</v>
      </c>
      <c r="B368" s="4" t="s">
        <v>16</v>
      </c>
      <c r="C368" s="3" t="str">
        <f>"TFC000000300"</f>
        <v>TFC000000300</v>
      </c>
      <c r="D368" s="3" t="str">
        <f>"F800-20-0320-(AR 1.5)"</f>
        <v>F800-20-0320-(AR 1.5)</v>
      </c>
      <c r="E368" s="3" t="str">
        <f>"Green eggs and ham"</f>
        <v>Green eggs and ham</v>
      </c>
      <c r="F368" s="3" t="str">
        <f>"by Dr.Seuss"</f>
        <v>by Dr.Seuss</v>
      </c>
      <c r="G368" s="3" t="str">
        <f>"Beginner Books"</f>
        <v>Beginner Books</v>
      </c>
      <c r="H368" s="2" t="str">
        <f>"1988"</f>
        <v>1988</v>
      </c>
      <c r="I368" s="3" t="str">
        <f>""</f>
        <v/>
      </c>
    </row>
    <row r="369" spans="1:9" x14ac:dyDescent="0.3">
      <c r="A369" s="2">
        <v>368</v>
      </c>
      <c r="B369" s="4" t="s">
        <v>16</v>
      </c>
      <c r="C369" s="3" t="str">
        <f>"TFC000000301"</f>
        <v>TFC000000301</v>
      </c>
      <c r="D369" s="3" t="str">
        <f>"F800-20-0321-(AR 1.5)"</f>
        <v>F800-20-0321-(AR 1.5)</v>
      </c>
      <c r="E369" s="3" t="str">
        <f>"(The)little mouse, the red ripe strawberry and the big hungry bear"</f>
        <v>(The)little mouse, the red ripe strawberry and the big hungry bear</v>
      </c>
      <c r="F369" s="3" t="str">
        <f>"by Don Wood, Audrey Wood ; illustrated by Don Wood"</f>
        <v>by Don Wood, Audrey Wood ; illustrated by Don Wood</v>
      </c>
      <c r="G369" s="3" t="str">
        <f>"Child's Play"</f>
        <v>Child's Play</v>
      </c>
      <c r="H369" s="2" t="str">
        <f>"2008"</f>
        <v>2008</v>
      </c>
      <c r="I369" s="3" t="str">
        <f>""</f>
        <v/>
      </c>
    </row>
    <row r="370" spans="1:9" x14ac:dyDescent="0.3">
      <c r="A370" s="2">
        <v>369</v>
      </c>
      <c r="B370" s="4" t="s">
        <v>16</v>
      </c>
      <c r="C370" s="3" t="str">
        <f>"TFC000000302"</f>
        <v>TFC000000302</v>
      </c>
      <c r="D370" s="3" t="str">
        <f>"F800-20-0322-(AR 1.5)"</f>
        <v>F800-20-0322-(AR 1.5)</v>
      </c>
      <c r="E370" s="3" t="str">
        <f>"(The)little mouse, the red ripe strawberry, and the big hungry bear"</f>
        <v>(The)little mouse, the red ripe strawberry, and the big hungry bear</v>
      </c>
      <c r="F370" s="3" t="str">
        <f>"by Don Wood, Audrey Wood ; illustrated by Don Wood"</f>
        <v>by Don Wood, Audrey Wood ; illustrated by Don Wood</v>
      </c>
      <c r="G370" s="3" t="str">
        <f>"Child's Play"</f>
        <v>Child's Play</v>
      </c>
      <c r="H370" s="2" t="str">
        <f>"2019"</f>
        <v>2019</v>
      </c>
      <c r="I370" s="3" t="str">
        <f>""</f>
        <v/>
      </c>
    </row>
    <row r="371" spans="1:9" x14ac:dyDescent="0.3">
      <c r="A371" s="2">
        <v>370</v>
      </c>
      <c r="B371" s="4" t="s">
        <v>16</v>
      </c>
      <c r="C371" s="3" t="str">
        <f>"TFC000000303"</f>
        <v>TFC000000303</v>
      </c>
      <c r="D371" s="3" t="str">
        <f>"F800-20-0323-(AR 1.5)"</f>
        <v>F800-20-0323-(AR 1.5)</v>
      </c>
      <c r="E371" s="3" t="str">
        <f>"Hi! fly guy"</f>
        <v>Hi! fly guy</v>
      </c>
      <c r="F371" s="3" t="str">
        <f>"by Tedd Arnold"</f>
        <v>by Tedd Arnold</v>
      </c>
      <c r="G371" s="3" t="str">
        <f>"Cartwheel Books:Scholastic"</f>
        <v>Cartwheel Books:Scholastic</v>
      </c>
      <c r="H371" s="2" t="str">
        <f>"2005"</f>
        <v>2005</v>
      </c>
      <c r="I371" s="3" t="str">
        <f>""</f>
        <v/>
      </c>
    </row>
    <row r="372" spans="1:9" x14ac:dyDescent="0.3">
      <c r="A372" s="2">
        <v>371</v>
      </c>
      <c r="B372" s="4" t="s">
        <v>16</v>
      </c>
      <c r="C372" s="3" t="str">
        <f>"TFC000000304"</f>
        <v>TFC000000304</v>
      </c>
      <c r="D372" s="3" t="str">
        <f>"F800-20-0324-(AR 1.5)"</f>
        <v>F800-20-0324-(AR 1.5)</v>
      </c>
      <c r="E372" s="3" t="str">
        <f>"I spy fly guy!"</f>
        <v>I spy fly guy!</v>
      </c>
      <c r="F372" s="3" t="str">
        <f>"Tedd Arnold"</f>
        <v>Tedd Arnold</v>
      </c>
      <c r="G372" s="3" t="str">
        <f>"Cartwheel Books"</f>
        <v>Cartwheel Books</v>
      </c>
      <c r="H372" s="2" t="str">
        <f>"2009"</f>
        <v>2009</v>
      </c>
      <c r="I372" s="3" t="str">
        <f>""</f>
        <v/>
      </c>
    </row>
    <row r="373" spans="1:9" x14ac:dyDescent="0.3">
      <c r="A373" s="2">
        <v>372</v>
      </c>
      <c r="B373" s="4" t="s">
        <v>16</v>
      </c>
      <c r="C373" s="3" t="str">
        <f>"TFC000000305"</f>
        <v>TFC000000305</v>
      </c>
      <c r="D373" s="3" t="str">
        <f>"F800-20-0325-(AR 1.5)"</f>
        <v>F800-20-0325-(AR 1.5)</v>
      </c>
      <c r="E373" s="3" t="str">
        <f>"Prince fly guy"</f>
        <v>Prince fly guy</v>
      </c>
      <c r="F373" s="3" t="str">
        <f>"by Tedd Arnold"</f>
        <v>by Tedd Arnold</v>
      </c>
      <c r="G373" s="3" t="str">
        <f>"Scholastic"</f>
        <v>Scholastic</v>
      </c>
      <c r="H373" s="2" t="str">
        <f>"2015"</f>
        <v>2015</v>
      </c>
      <c r="I373" s="3" t="str">
        <f>""</f>
        <v/>
      </c>
    </row>
    <row r="374" spans="1:9" x14ac:dyDescent="0.3">
      <c r="A374" s="2">
        <v>373</v>
      </c>
      <c r="B374" s="4" t="s">
        <v>16</v>
      </c>
      <c r="C374" s="3" t="str">
        <f>"TFC000000306"</f>
        <v>TFC000000306</v>
      </c>
      <c r="D374" s="3" t="str">
        <f>"F800-20-0326-(AR 1.5)"</f>
        <v>F800-20-0326-(AR 1.5)</v>
      </c>
      <c r="E374" s="3" t="str">
        <f>"Mr. Tiger goes wild"</f>
        <v>Mr. Tiger goes wild</v>
      </c>
      <c r="F374" s="3" t="str">
        <f>"Peter Brown"</f>
        <v>Peter Brown</v>
      </c>
      <c r="G374" s="3" t="str">
        <f>"Little, Brown and Company"</f>
        <v>Little, Brown and Company</v>
      </c>
      <c r="H374" s="2" t="str">
        <f>"2013"</f>
        <v>2013</v>
      </c>
      <c r="I374" s="3" t="str">
        <f>""</f>
        <v/>
      </c>
    </row>
    <row r="375" spans="1:9" x14ac:dyDescent="0.3">
      <c r="A375" s="2">
        <v>374</v>
      </c>
      <c r="B375" s="4" t="s">
        <v>16</v>
      </c>
      <c r="C375" s="3" t="str">
        <f>"TFC000000310"</f>
        <v>TFC000000310</v>
      </c>
      <c r="D375" s="3" t="str">
        <f>"F800-20-0330-(AR 1.5)"</f>
        <v>F800-20-0330-(AR 1.5)</v>
      </c>
      <c r="E375" s="3" t="str">
        <f>"(The)greatest snowman in the world!"</f>
        <v>(The)greatest snowman in the world!</v>
      </c>
      <c r="F375" s="3" t="str">
        <f>"written and illustrated by Peter Hannan"</f>
        <v>written and illustrated by Peter Hannan</v>
      </c>
      <c r="G375" s="3" t="str">
        <f>"Harper"</f>
        <v>Harper</v>
      </c>
      <c r="H375" s="2" t="str">
        <f>"2010"</f>
        <v>2010</v>
      </c>
      <c r="I375" s="3" t="str">
        <f>""</f>
        <v/>
      </c>
    </row>
    <row r="376" spans="1:9" x14ac:dyDescent="0.3">
      <c r="A376" s="2">
        <v>375</v>
      </c>
      <c r="B376" s="4" t="s">
        <v>16</v>
      </c>
      <c r="C376" s="3" t="str">
        <f>"TFC000000311"</f>
        <v>TFC000000311</v>
      </c>
      <c r="D376" s="3" t="str">
        <f>"F800-20-0331-(AR 1.5)"</f>
        <v>F800-20-0331-(AR 1.5)</v>
      </c>
      <c r="E376" s="3" t="str">
        <f>"Here comes silent e! : a phonics reader"</f>
        <v>Here comes silent e! : a phonics reader</v>
      </c>
      <c r="F376" s="3" t="str">
        <f>"by Anna Jane Hays ; illustrated by JoAnn Adinolfi"</f>
        <v>by Anna Jane Hays ; illustrated by JoAnn Adinolfi</v>
      </c>
      <c r="G376" s="3" t="str">
        <f>"Random House"</f>
        <v>Random House</v>
      </c>
      <c r="H376" s="2" t="str">
        <f>"2004"</f>
        <v>2004</v>
      </c>
      <c r="I376" s="3" t="str">
        <f>""</f>
        <v/>
      </c>
    </row>
    <row r="377" spans="1:9" x14ac:dyDescent="0.3">
      <c r="A377" s="2">
        <v>376</v>
      </c>
      <c r="B377" s="4" t="s">
        <v>16</v>
      </c>
      <c r="C377" s="3" t="str">
        <f>"TFC000000312"</f>
        <v>TFC000000312</v>
      </c>
      <c r="D377" s="3" t="str">
        <f>"F800-20-0332-(AR 1.5)"</f>
        <v>F800-20-0332-(AR 1.5)</v>
      </c>
      <c r="E377" s="3" t="str">
        <f>"Bruce's big fun day"</f>
        <v>Bruce's big fun day</v>
      </c>
      <c r="F377" s="3" t="str">
        <f>"by Ryan T. Higgins"</f>
        <v>by Ryan T. Higgins</v>
      </c>
      <c r="G377" s="3" t="str">
        <f>"Disney·Hyperion"</f>
        <v>Disney·Hyperion</v>
      </c>
      <c r="H377" s="2" t="str">
        <f>"2019"</f>
        <v>2019</v>
      </c>
      <c r="I377" s="3" t="str">
        <f>""</f>
        <v/>
      </c>
    </row>
    <row r="378" spans="1:9" x14ac:dyDescent="0.3">
      <c r="A378" s="2">
        <v>377</v>
      </c>
      <c r="B378" s="4" t="s">
        <v>16</v>
      </c>
      <c r="C378" s="3" t="str">
        <f>"TFC000000313"</f>
        <v>TFC000000313</v>
      </c>
      <c r="D378" s="3" t="str">
        <f>"F800-20-0333-(AR 1.5)"</f>
        <v>F800-20-0333-(AR 1.5)</v>
      </c>
      <c r="E378" s="3" t="str">
        <f>"Castle adventure"</f>
        <v>Castle adventure</v>
      </c>
      <c r="F378" s="3" t="str">
        <f>"written by Roderick Hunt ; illustrated by Alex Brychta"</f>
        <v>written by Roderick Hunt ; illustrated by Alex Brychta</v>
      </c>
      <c r="G378" s="3" t="str">
        <f>"Oxford University Press"</f>
        <v>Oxford University Press</v>
      </c>
      <c r="H378" s="2" t="str">
        <f>"2011"</f>
        <v>2011</v>
      </c>
      <c r="I378" s="3" t="str">
        <f>""</f>
        <v/>
      </c>
    </row>
    <row r="379" spans="1:9" x14ac:dyDescent="0.3">
      <c r="A379" s="2">
        <v>378</v>
      </c>
      <c r="B379" s="4" t="s">
        <v>16</v>
      </c>
      <c r="C379" s="3" t="str">
        <f>"TFC000000314"</f>
        <v>TFC000000314</v>
      </c>
      <c r="D379" s="3" t="str">
        <f>"F800-20-0334-(AR 1.5)"</f>
        <v>F800-20-0334-(AR 1.5)</v>
      </c>
      <c r="E379" s="3" t="str">
        <f>"Village in the snow"</f>
        <v>Village in the snow</v>
      </c>
      <c r="F379" s="3" t="str">
        <f>"written by Roderick Hunt ; illustrated by Alex Brychta"</f>
        <v>written by Roderick Hunt ; illustrated by Alex Brychta</v>
      </c>
      <c r="G379" s="3" t="str">
        <f>"Oxford University Press"</f>
        <v>Oxford University Press</v>
      </c>
      <c r="H379" s="2" t="str">
        <f>"2011"</f>
        <v>2011</v>
      </c>
      <c r="I379" s="3" t="str">
        <f>""</f>
        <v/>
      </c>
    </row>
    <row r="380" spans="1:9" x14ac:dyDescent="0.3">
      <c r="A380" s="2">
        <v>379</v>
      </c>
      <c r="B380" s="4" t="s">
        <v>16</v>
      </c>
      <c r="C380" s="3" t="str">
        <f>"TFC000000315"</f>
        <v>TFC000000315</v>
      </c>
      <c r="D380" s="3" t="str">
        <f>"F800-20-0335-(AR 1.5)"</f>
        <v>F800-20-0335-(AR 1.5)</v>
      </c>
      <c r="E380" s="3" t="str">
        <f>"Did you eat the parakeet?"</f>
        <v>Did you eat the parakeet?</v>
      </c>
      <c r="F380" s="3" t="str">
        <f>"Mark Iacolina"</f>
        <v>Mark Iacolina</v>
      </c>
      <c r="G380" s="3" t="str">
        <f>"Farrar Straus Giroux"</f>
        <v>Farrar Straus Giroux</v>
      </c>
      <c r="H380" s="2" t="str">
        <f>"2018"</f>
        <v>2018</v>
      </c>
      <c r="I380" s="3" t="str">
        <f>""</f>
        <v/>
      </c>
    </row>
    <row r="381" spans="1:9" x14ac:dyDescent="0.3">
      <c r="A381" s="2">
        <v>380</v>
      </c>
      <c r="B381" s="4" t="s">
        <v>16</v>
      </c>
      <c r="C381" s="3" t="str">
        <f>"TFC000000316"</f>
        <v>TFC000000316</v>
      </c>
      <c r="D381" s="3" t="str">
        <f>"F800-20-0336-(AR 1.5)"</f>
        <v>F800-20-0336-(AR 1.5)</v>
      </c>
      <c r="E381" s="3" t="str">
        <f>"We just moved!"</f>
        <v>We just moved!</v>
      </c>
      <c r="F381" s="3" t="str">
        <f>"by Stephen Krensky ; illustrated by Larry Difiori"</f>
        <v>by Stephen Krensky ; illustrated by Larry Difiori</v>
      </c>
      <c r="G381" s="3" t="str">
        <f>"Scholastic"</f>
        <v>Scholastic</v>
      </c>
      <c r="H381" s="2" t="str">
        <f>"2003"</f>
        <v>2003</v>
      </c>
      <c r="I381" s="3" t="str">
        <f>""</f>
        <v/>
      </c>
    </row>
    <row r="382" spans="1:9" x14ac:dyDescent="0.3">
      <c r="A382" s="2">
        <v>381</v>
      </c>
      <c r="B382" s="4" t="s">
        <v>16</v>
      </c>
      <c r="C382" s="3" t="str">
        <f>"TFC000000317"</f>
        <v>TFC000000317</v>
      </c>
      <c r="D382" s="3" t="str">
        <f>"F800-20-0337-(AR 1.5)"</f>
        <v>F800-20-0337-(AR 1.5)</v>
      </c>
      <c r="E382" s="3" t="str">
        <f>"I love my white shoes"</f>
        <v>I love my white shoes</v>
      </c>
      <c r="F382" s="3" t="str">
        <f>"story by Eric Litwin ; art by James Dean"</f>
        <v>story by Eric Litwin ; art by James Dean</v>
      </c>
      <c r="G382" s="3" t="str">
        <f>"Harper"</f>
        <v>Harper</v>
      </c>
      <c r="H382" s="2" t="str">
        <f>"2010"</f>
        <v>2010</v>
      </c>
      <c r="I382" s="3" t="str">
        <f>""</f>
        <v/>
      </c>
    </row>
    <row r="383" spans="1:9" x14ac:dyDescent="0.3">
      <c r="A383" s="2">
        <v>382</v>
      </c>
      <c r="B383" s="4" t="s">
        <v>16</v>
      </c>
      <c r="C383" s="3" t="str">
        <f>"TFC000000318"</f>
        <v>TFC000000318</v>
      </c>
      <c r="D383" s="3" t="str">
        <f>"F800-20-0338-(AR 1.5)"</f>
        <v>F800-20-0338-(AR 1.5)</v>
      </c>
      <c r="E383" s="3" t="str">
        <f>"Monster math"</f>
        <v>Monster math</v>
      </c>
      <c r="F383" s="3" t="str">
        <f>"by Grace Maccarone ; illustrated by Marge Hartelius"</f>
        <v>by Grace Maccarone ; illustrated by Marge Hartelius</v>
      </c>
      <c r="G383" s="3" t="str">
        <f>"Scholastic"</f>
        <v>Scholastic</v>
      </c>
      <c r="H383" s="2" t="str">
        <f>"2003"</f>
        <v>2003</v>
      </c>
      <c r="I383" s="3" t="str">
        <f>""</f>
        <v/>
      </c>
    </row>
    <row r="384" spans="1:9" x14ac:dyDescent="0.3">
      <c r="A384" s="2">
        <v>383</v>
      </c>
      <c r="B384" s="4" t="s">
        <v>16</v>
      </c>
      <c r="C384" s="3" t="str">
        <f>"TFC000000319"</f>
        <v>TFC000000319</v>
      </c>
      <c r="D384" s="3" t="str">
        <f>"F800-20-0339-(AR 1.5)"</f>
        <v>F800-20-0339-(AR 1.5)</v>
      </c>
      <c r="E384" s="3" t="str">
        <f>"Monster math school time"</f>
        <v>Monster math school time</v>
      </c>
      <c r="F384" s="3" t="str">
        <f>"by Grace Maccarone ; illustrated by Marge Hartelius"</f>
        <v>by Grace Maccarone ; illustrated by Marge Hartelius</v>
      </c>
      <c r="G384" s="3" t="str">
        <f>"Scholastic"</f>
        <v>Scholastic</v>
      </c>
      <c r="H384" s="2" t="str">
        <f>"2003"</f>
        <v>2003</v>
      </c>
      <c r="I384" s="3" t="str">
        <f>""</f>
        <v/>
      </c>
    </row>
    <row r="385" spans="1:9" x14ac:dyDescent="0.3">
      <c r="A385" s="2">
        <v>384</v>
      </c>
      <c r="B385" s="4" t="s">
        <v>16</v>
      </c>
      <c r="C385" s="3" t="str">
        <f>"TFC000000320"</f>
        <v>TFC000000320</v>
      </c>
      <c r="D385" s="3" t="str">
        <f>"F800-20-0340-(AR 1.5)"</f>
        <v>F800-20-0340-(AR 1.5)</v>
      </c>
      <c r="E385" s="3" t="str">
        <f>"Brown bear, brown bear, what do you see?"</f>
        <v>Brown bear, brown bear, what do you see?</v>
      </c>
      <c r="F385" s="3" t="str">
        <f>"by Bill Martin ; pictures by Eric Carle"</f>
        <v>by Bill Martin ; pictures by Eric Carle</v>
      </c>
      <c r="G385" s="3" t="str">
        <f>"Henry Holt and Company"</f>
        <v>Henry Holt and Company</v>
      </c>
      <c r="H385" s="2" t="str">
        <f>"2004"</f>
        <v>2004</v>
      </c>
      <c r="I385" s="3" t="str">
        <f>""</f>
        <v/>
      </c>
    </row>
    <row r="386" spans="1:9" x14ac:dyDescent="0.3">
      <c r="A386" s="2">
        <v>385</v>
      </c>
      <c r="B386" s="4" t="s">
        <v>16</v>
      </c>
      <c r="C386" s="3" t="str">
        <f>"TFC000000321"</f>
        <v>TFC000000321</v>
      </c>
      <c r="D386" s="3" t="str">
        <f>"F800-20-0341-(AR 1.5)"</f>
        <v>F800-20-0341-(AR 1.5)</v>
      </c>
      <c r="E386" s="3" t="str">
        <f>"We're all wonders"</f>
        <v>We're all wonders</v>
      </c>
      <c r="F386" s="3" t="str">
        <f>"written and illustrated by R. J. Palacio"</f>
        <v>written and illustrated by R. J. Palacio</v>
      </c>
      <c r="G386" s="3" t="str">
        <f>"Alfred A. Knopf"</f>
        <v>Alfred A. Knopf</v>
      </c>
      <c r="H386" s="2" t="str">
        <f>"2017"</f>
        <v>2017</v>
      </c>
      <c r="I386" s="3" t="str">
        <f>""</f>
        <v/>
      </c>
    </row>
    <row r="387" spans="1:9" x14ac:dyDescent="0.3">
      <c r="A387" s="2">
        <v>386</v>
      </c>
      <c r="B387" s="4" t="s">
        <v>16</v>
      </c>
      <c r="C387" s="3" t="str">
        <f>"TFC000000322"</f>
        <v>TFC000000322</v>
      </c>
      <c r="D387" s="3" t="str">
        <f>"F800-20-0342-(AR 1.5)"</f>
        <v>F800-20-0342-(AR 1.5)</v>
      </c>
      <c r="E387" s="3" t="str">
        <f>"Tiger in my soup"</f>
        <v>Tiger in my soup</v>
      </c>
      <c r="F387" s="3" t="str">
        <f>"Kashmira Sheth ; illustrated by Jeffrey Ebbeler"</f>
        <v>Kashmira Sheth ; illustrated by Jeffrey Ebbeler</v>
      </c>
      <c r="G387" s="3" t="str">
        <f>"Peachtree"</f>
        <v>Peachtree</v>
      </c>
      <c r="H387" s="2" t="str">
        <f>"2013"</f>
        <v>2013</v>
      </c>
      <c r="I387" s="3" t="str">
        <f>""</f>
        <v/>
      </c>
    </row>
    <row r="388" spans="1:9" x14ac:dyDescent="0.3">
      <c r="A388" s="2">
        <v>387</v>
      </c>
      <c r="B388" s="4" t="s">
        <v>16</v>
      </c>
      <c r="C388" s="3" t="str">
        <f>"TFC000000323"</f>
        <v>TFC000000323</v>
      </c>
      <c r="D388" s="3" t="str">
        <f>"F800-20-0343-(AR 1.5)"</f>
        <v>F800-20-0343-(AR 1.5)</v>
      </c>
      <c r="E388" s="3" t="str">
        <f>"Eloise and the very secret room"</f>
        <v>Eloise and the very secret room</v>
      </c>
      <c r="F388" s="3" t="str">
        <f>"story by Ellen Weiss ; illustrated by Tammie Lyon"</f>
        <v>story by Ellen Weiss ; illustrated by Tammie Lyon</v>
      </c>
      <c r="G388" s="3" t="str">
        <f>"Aladdin Paperbacks"</f>
        <v>Aladdin Paperbacks</v>
      </c>
      <c r="H388" s="2" t="str">
        <f>"2016"</f>
        <v>2016</v>
      </c>
      <c r="I388" s="3" t="str">
        <f>""</f>
        <v/>
      </c>
    </row>
    <row r="389" spans="1:9" x14ac:dyDescent="0.3">
      <c r="A389" s="2">
        <v>388</v>
      </c>
      <c r="B389" s="4" t="s">
        <v>16</v>
      </c>
      <c r="C389" s="3" t="str">
        <f>"TFC000000324"</f>
        <v>TFC000000324</v>
      </c>
      <c r="D389" s="3" t="str">
        <f>"F800-20-0344-(AR 1.5)"</f>
        <v>F800-20-0344-(AR 1.5)</v>
      </c>
      <c r="E389" s="3" t="str">
        <f>"(The)pigeon has to go to school!"</f>
        <v>(The)pigeon has to go to school!</v>
      </c>
      <c r="F389" s="3" t="str">
        <f>"Mo Willems"</f>
        <v>Mo Willems</v>
      </c>
      <c r="G389" s="3" t="str">
        <f>"Hyperion Books for Children"</f>
        <v>Hyperion Books for Children</v>
      </c>
      <c r="H389" s="2" t="str">
        <f>"2019"</f>
        <v>2019</v>
      </c>
      <c r="I389" s="3" t="str">
        <f>""</f>
        <v/>
      </c>
    </row>
    <row r="390" spans="1:9" x14ac:dyDescent="0.3">
      <c r="A390" s="2">
        <v>389</v>
      </c>
      <c r="B390" s="4" t="s">
        <v>16</v>
      </c>
      <c r="C390" s="3" t="str">
        <f>"TFC000003256"</f>
        <v>TFC000003256</v>
      </c>
      <c r="D390" s="3" t="str">
        <f>"F800-21-0064-(AR 1.5)"</f>
        <v>F800-21-0064-(AR 1.5)</v>
      </c>
      <c r="E390" s="3" t="str">
        <f>"Me too!"</f>
        <v>Me too!</v>
      </c>
      <c r="F390" s="3" t="str">
        <f>"by Mercer Mayer"</f>
        <v>by Mercer Mayer</v>
      </c>
      <c r="G390" s="3" t="str">
        <f>"Random House"</f>
        <v>Random House</v>
      </c>
      <c r="H390" s="2" t="str">
        <f>"2006"</f>
        <v>2006</v>
      </c>
      <c r="I390" s="3" t="str">
        <f>""</f>
        <v/>
      </c>
    </row>
    <row r="391" spans="1:9" x14ac:dyDescent="0.3">
      <c r="A391" s="2">
        <v>390</v>
      </c>
      <c r="B391" s="4" t="s">
        <v>16</v>
      </c>
      <c r="C391" s="3" t="str">
        <f>"TFC000003254"</f>
        <v>TFC000003254</v>
      </c>
      <c r="D391" s="3" t="str">
        <f>"F800-21-0063-(AR 1.5)"</f>
        <v>F800-21-0063-(AR 1.5)</v>
      </c>
      <c r="E391" s="3" t="str">
        <f>"Just a mess"</f>
        <v>Just a mess</v>
      </c>
      <c r="F391" s="3" t="str">
        <f>"by Mayer Mercer"</f>
        <v>by Mayer Mercer</v>
      </c>
      <c r="G391" s="3" t="str">
        <f>"Random House"</f>
        <v>Random House</v>
      </c>
      <c r="H391" s="2" t="str">
        <f>"2006"</f>
        <v>2006</v>
      </c>
      <c r="I391" s="3" t="str">
        <f>""</f>
        <v/>
      </c>
    </row>
    <row r="392" spans="1:9" x14ac:dyDescent="0.3">
      <c r="A392" s="2">
        <v>391</v>
      </c>
      <c r="B392" s="4" t="s">
        <v>16</v>
      </c>
      <c r="C392" s="3" t="str">
        <f>"TFC000003283"</f>
        <v>TFC000003283</v>
      </c>
      <c r="D392" s="3" t="str">
        <f>"F400-21-0059-(AR 1.5)"</f>
        <v>F400-21-0059-(AR 1.5)</v>
      </c>
      <c r="E392" s="3" t="str">
        <f>"Baby dogs"</f>
        <v>Baby dogs</v>
      </c>
      <c r="F392" s="3" t="str">
        <f>"by Margaret Shanley"</f>
        <v>by Margaret Shanley</v>
      </c>
      <c r="G392" s="3" t="str">
        <f>"Bearport Publishing Company"</f>
        <v>Bearport Publishing Company</v>
      </c>
      <c r="H392" s="2" t="str">
        <f>"2021"</f>
        <v>2021</v>
      </c>
      <c r="I392" s="3" t="str">
        <f>""</f>
        <v/>
      </c>
    </row>
    <row r="393" spans="1:9" x14ac:dyDescent="0.3">
      <c r="A393" s="2">
        <v>392</v>
      </c>
      <c r="B393" s="4" t="s">
        <v>16</v>
      </c>
      <c r="C393" s="3" t="str">
        <f>"TFC000003284"</f>
        <v>TFC000003284</v>
      </c>
      <c r="D393" s="3" t="str">
        <f>"F400-21-0060-(AR 1.5)"</f>
        <v>F400-21-0060-(AR 1.5)</v>
      </c>
      <c r="E393" s="3" t="str">
        <f>"Baby horses"</f>
        <v>Baby horses</v>
      </c>
      <c r="F393" s="3" t="str">
        <f>"by Margaret Shanley"</f>
        <v>by Margaret Shanley</v>
      </c>
      <c r="G393" s="3" t="str">
        <f>"Bearport Publishing Company"</f>
        <v>Bearport Publishing Company</v>
      </c>
      <c r="H393" s="2" t="str">
        <f>"2021"</f>
        <v>2021</v>
      </c>
      <c r="I393" s="3" t="str">
        <f>""</f>
        <v/>
      </c>
    </row>
    <row r="394" spans="1:9" x14ac:dyDescent="0.3">
      <c r="A394" s="2">
        <v>393</v>
      </c>
      <c r="B394" s="4" t="s">
        <v>16</v>
      </c>
      <c r="C394" s="3" t="str">
        <f>"TFC000003579"</f>
        <v>TFC000003579</v>
      </c>
      <c r="D394" s="3" t="str">
        <f>"F500-21-0061-(AR 1.5)"</f>
        <v>F500-21-0061-(AR 1.5)</v>
      </c>
      <c r="E394" s="3" t="str">
        <f>"Me and my family tree"</f>
        <v>Me and my family tree</v>
      </c>
      <c r="F394" s="3" t="str">
        <f>"by Joan Sweeney ; illustrated by Annette Cable"</f>
        <v>by Joan Sweeney ; illustrated by Annette Cable</v>
      </c>
      <c r="G394" s="3" t="str">
        <f>"Crown Publishers"</f>
        <v>Crown Publishers</v>
      </c>
      <c r="H394" s="2" t="str">
        <f>"2013"</f>
        <v>2013</v>
      </c>
      <c r="I394" s="3" t="str">
        <f>""</f>
        <v/>
      </c>
    </row>
    <row r="395" spans="1:9" x14ac:dyDescent="0.3">
      <c r="A395" s="2">
        <v>394</v>
      </c>
      <c r="B395" s="4" t="s">
        <v>16</v>
      </c>
      <c r="C395" s="3" t="str">
        <f>"TFC000003777"</f>
        <v>TFC000003777</v>
      </c>
      <c r="D395" s="3" t="str">
        <f>"F800-21-0065-(AR 1.5)"</f>
        <v>F800-21-0065-(AR 1.5)</v>
      </c>
      <c r="E395" s="3" t="str">
        <f>"Supertruck"</f>
        <v>Supertruck</v>
      </c>
      <c r="F395" s="3" t="str">
        <f>"by Stephen Savage"</f>
        <v>by Stephen Savage</v>
      </c>
      <c r="G395" s="3" t="str">
        <f>"Roaring Brook Press"</f>
        <v>Roaring Brook Press</v>
      </c>
      <c r="H395" s="2" t="str">
        <f>"2015"</f>
        <v>2015</v>
      </c>
      <c r="I395" s="3" t="str">
        <f>""</f>
        <v/>
      </c>
    </row>
    <row r="396" spans="1:9" x14ac:dyDescent="0.3">
      <c r="A396" s="2">
        <v>395</v>
      </c>
      <c r="B396" s="4" t="s">
        <v>16</v>
      </c>
      <c r="C396" s="3" t="str">
        <f>"TFC000003779"</f>
        <v>TFC000003779</v>
      </c>
      <c r="D396" s="3" t="str">
        <f>"F800-21-0066-(AR 1.5)"</f>
        <v>F800-21-0066-(AR 1.5)</v>
      </c>
      <c r="E396" s="3" t="str">
        <f>"Hi! fly guy"</f>
        <v>Hi! fly guy</v>
      </c>
      <c r="F396" s="3" t="str">
        <f>"by Tedd Arnold"</f>
        <v>by Tedd Arnold</v>
      </c>
      <c r="G396" s="3" t="str">
        <f>"Scholastic"</f>
        <v>Scholastic</v>
      </c>
      <c r="H396" s="2" t="str">
        <f>"2009"</f>
        <v>2009</v>
      </c>
      <c r="I396" s="3" t="str">
        <f>""</f>
        <v/>
      </c>
    </row>
    <row r="397" spans="1:9" x14ac:dyDescent="0.3">
      <c r="A397" s="2">
        <v>396</v>
      </c>
      <c r="B397" s="4" t="s">
        <v>16</v>
      </c>
      <c r="C397" s="3" t="str">
        <f>"TFC000004317"</f>
        <v>TFC000004317</v>
      </c>
      <c r="D397" s="3" t="str">
        <f>"F800-22-0122-(AR 1.5)"</f>
        <v>F800-22-0122-(AR 1.5)</v>
      </c>
      <c r="E397" s="3" t="str">
        <f>"Little Dog Lost : (The) True Story of a Brave Dog Named Baltic"</f>
        <v>Little Dog Lost : (The) True Story of a Brave Dog Named Baltic</v>
      </c>
      <c r="F397" s="3" t="str">
        <f>"by Monica Carnesi"</f>
        <v>by Monica Carnesi</v>
      </c>
      <c r="G397" s="3" t="str">
        <f>"Nancy Paulsen Books"</f>
        <v>Nancy Paulsen Books</v>
      </c>
      <c r="H397" s="2" t="str">
        <f>"2022"</f>
        <v>2022</v>
      </c>
      <c r="I397" s="3" t="str">
        <f>""</f>
        <v/>
      </c>
    </row>
    <row r="398" spans="1:9" x14ac:dyDescent="0.3">
      <c r="A398" s="2">
        <v>397</v>
      </c>
      <c r="B398" s="4" t="s">
        <v>16</v>
      </c>
      <c r="C398" s="3" t="str">
        <f>"TFC000004368"</f>
        <v>TFC000004368</v>
      </c>
      <c r="D398" s="3" t="str">
        <f>"F800-22-0177-(AR 1.5)"</f>
        <v>F800-22-0177-(AR 1.5)</v>
      </c>
      <c r="E398" s="3" t="str">
        <f>"Save it!"</f>
        <v>Save it!</v>
      </c>
      <c r="F398" s="3" t="str">
        <f>"by Cinders McLeod"</f>
        <v>by Cinders McLeod</v>
      </c>
      <c r="G398" s="3" t="str">
        <f>"Nancy Paulsen Books"</f>
        <v>Nancy Paulsen Books</v>
      </c>
      <c r="H398" s="2" t="str">
        <f>"2021"</f>
        <v>2021</v>
      </c>
      <c r="I398" s="3" t="str">
        <f>""</f>
        <v/>
      </c>
    </row>
    <row r="399" spans="1:9" x14ac:dyDescent="0.3">
      <c r="A399" s="2">
        <v>398</v>
      </c>
      <c r="B399" s="4" t="s">
        <v>16</v>
      </c>
      <c r="C399" s="3" t="str">
        <f>"TFC000004376"</f>
        <v>TFC000004376</v>
      </c>
      <c r="D399" s="3" t="str">
        <f>"F800-22-0185-(AR1.5)"</f>
        <v>F800-22-0185-(AR1.5)</v>
      </c>
      <c r="E399" s="3" t="str">
        <f>"Fun with Dick and Jane"</f>
        <v>Fun with Dick and Jane</v>
      </c>
      <c r="F399" s="3" t="str">
        <f>"by Grosset��Dunlap"</f>
        <v>by Grosset��Dunlap</v>
      </c>
      <c r="G399" s="3" t="str">
        <f>"Grosset &amp; Dunlap"</f>
        <v>Grosset &amp; Dunlap</v>
      </c>
      <c r="H399" s="2" t="str">
        <f>"2004"</f>
        <v>2004</v>
      </c>
      <c r="I399" s="2" t="s">
        <v>2</v>
      </c>
    </row>
    <row r="400" spans="1:9" x14ac:dyDescent="0.3">
      <c r="A400" s="2">
        <v>399</v>
      </c>
      <c r="B400" s="4" t="s">
        <v>16</v>
      </c>
      <c r="C400" s="3" t="str">
        <f>"TFC000004336"</f>
        <v>TFC000004336</v>
      </c>
      <c r="D400" s="3" t="str">
        <f>"F800-22-0145-(AR1.5)"</f>
        <v>F800-22-0145-(AR1.5)</v>
      </c>
      <c r="E400" s="3" t="str">
        <f>"Willy and Hugh"</f>
        <v>Willy and Hugh</v>
      </c>
      <c r="F400" s="3" t="str">
        <f>"by Anthony Browne"</f>
        <v>by Anthony Browne</v>
      </c>
      <c r="G400" s="3" t="str">
        <f>"Picture Corgi"</f>
        <v>Picture Corgi</v>
      </c>
      <c r="H400" s="2" t="str">
        <f>"1991"</f>
        <v>1991</v>
      </c>
      <c r="I400" s="3" t="str">
        <f>""</f>
        <v/>
      </c>
    </row>
    <row r="401" spans="1:9" x14ac:dyDescent="0.3">
      <c r="A401" s="2">
        <v>400</v>
      </c>
      <c r="B401" s="4" t="s">
        <v>16</v>
      </c>
      <c r="C401" s="3" t="str">
        <f>"TFC000004337"</f>
        <v>TFC000004337</v>
      </c>
      <c r="D401" s="3" t="str">
        <f>"F800-22-0146-(AR1.5)"</f>
        <v>F800-22-0146-(AR1.5)</v>
      </c>
      <c r="E401" s="3" t="str">
        <f>"Dear Yeti"</f>
        <v>Dear Yeti</v>
      </c>
      <c r="F401" s="3" t="str">
        <f>"by James Kwan"</f>
        <v>by James Kwan</v>
      </c>
      <c r="G401" s="3" t="str">
        <f>"Farrar Straus Giroux"</f>
        <v>Farrar Straus Giroux</v>
      </c>
      <c r="H401" s="2" t="str">
        <f>"2015"</f>
        <v>2015</v>
      </c>
      <c r="I401" s="3" t="str">
        <f>""</f>
        <v/>
      </c>
    </row>
    <row r="402" spans="1:9" x14ac:dyDescent="0.3">
      <c r="A402" s="2">
        <v>401</v>
      </c>
      <c r="B402" s="4" t="s">
        <v>16</v>
      </c>
      <c r="C402" s="3" t="str">
        <f>"TFC000004338"</f>
        <v>TFC000004338</v>
      </c>
      <c r="D402" s="3" t="str">
        <f>"F800-22-0147-(AR1.5)"</f>
        <v>F800-22-0147-(AR1.5)</v>
      </c>
      <c r="E402" s="3" t="str">
        <f>"Outstanding in the rain"</f>
        <v>Outstanding in the rain</v>
      </c>
      <c r="F402" s="3" t="str">
        <f>"by Frank Viva"</f>
        <v>by Frank Viva</v>
      </c>
      <c r="G402" s="3" t="str">
        <f>"Little, Brown and Company"</f>
        <v>Little, Brown and Company</v>
      </c>
      <c r="H402" s="2" t="str">
        <f>"2015"</f>
        <v>2015</v>
      </c>
      <c r="I402" s="3" t="str">
        <f>""</f>
        <v/>
      </c>
    </row>
    <row r="403" spans="1:9" x14ac:dyDescent="0.3">
      <c r="A403" s="2">
        <v>402</v>
      </c>
      <c r="B403" s="4" t="s">
        <v>16</v>
      </c>
      <c r="C403" s="3" t="str">
        <f>"TFC000004421"</f>
        <v>TFC000004421</v>
      </c>
      <c r="D403" s="3" t="str">
        <f>"F800-22-0230-(AR1.5)"</f>
        <v>F800-22-0230-(AR1.5)</v>
      </c>
      <c r="E403" s="3" t="str">
        <f>"The Cat wants Kittens"</f>
        <v>The Cat wants Kittens</v>
      </c>
      <c r="F403" s="3" t="str">
        <f>"by P. Crumble, illustrated by Lucinda Gifford"</f>
        <v>by P. Crumble, illustrated by Lucinda Gifford</v>
      </c>
      <c r="G403" s="3" t="str">
        <f>"Scholastic"</f>
        <v>Scholastic</v>
      </c>
      <c r="H403" s="2" t="str">
        <f>"2022"</f>
        <v>2022</v>
      </c>
      <c r="I403" s="3" t="str">
        <f>""</f>
        <v/>
      </c>
    </row>
    <row r="404" spans="1:9" x14ac:dyDescent="0.3">
      <c r="A404" s="2">
        <v>403</v>
      </c>
      <c r="B404" s="4" t="s">
        <v>16</v>
      </c>
      <c r="C404" s="3" t="str">
        <f>"TFC000004646"</f>
        <v>TFC000004646</v>
      </c>
      <c r="D404" s="3" t="str">
        <f>"F400-22-0455-(AR1.5)"</f>
        <v>F400-22-0455-(AR1.5)</v>
      </c>
      <c r="E404" s="3" t="str">
        <f>"Puffins"</f>
        <v>Puffins</v>
      </c>
      <c r="F404" s="3" t="str">
        <f>"by Maya Myers"</f>
        <v>by Maya Myers</v>
      </c>
      <c r="G404" s="3" t="str">
        <f>"National Geographic"</f>
        <v>National Geographic</v>
      </c>
      <c r="H404" s="2" t="str">
        <f>"2019"</f>
        <v>2019</v>
      </c>
      <c r="I404" s="3" t="str">
        <f>""</f>
        <v/>
      </c>
    </row>
    <row r="405" spans="1:9" x14ac:dyDescent="0.3">
      <c r="A405" s="2">
        <v>404</v>
      </c>
      <c r="B405" s="4" t="s">
        <v>16</v>
      </c>
      <c r="C405" s="3" t="str">
        <f>"TFC000000308"</f>
        <v>TFC000000308</v>
      </c>
      <c r="D405" s="3" t="str">
        <f>"F800-20-0328-1(AR 1.5)"</f>
        <v>F800-20-0328-1(AR 1.5)</v>
      </c>
      <c r="E405" s="3" t="str">
        <f>"Llama Llama and the bully goat"</f>
        <v>Llama Llama and the bully goat</v>
      </c>
      <c r="F405" s="3" t="str">
        <f>"Anna Dewdney"</f>
        <v>Anna Dewdney</v>
      </c>
      <c r="G405" s="3" t="str">
        <f>"Viking"</f>
        <v>Viking</v>
      </c>
      <c r="H405" s="2" t="str">
        <f>"2013"</f>
        <v>2013</v>
      </c>
      <c r="I405" s="3" t="str">
        <f>""</f>
        <v/>
      </c>
    </row>
    <row r="406" spans="1:9" x14ac:dyDescent="0.3">
      <c r="A406" s="2">
        <v>405</v>
      </c>
      <c r="B406" s="4">
        <v>1.5</v>
      </c>
      <c r="C406" s="3" t="str">
        <f>"TFC000000309"</f>
        <v>TFC000000309</v>
      </c>
      <c r="D406" s="3" t="str">
        <f>"F800-20-0329-2(AR 1.5)"</f>
        <v>F800-20-0329-2(AR 1.5)</v>
      </c>
      <c r="E406" s="3" t="str">
        <f>"Llama Llama time to share"</f>
        <v>Llama Llama time to share</v>
      </c>
      <c r="F406" s="3" t="str">
        <f>"Anna Dewdney"</f>
        <v>Anna Dewdney</v>
      </c>
      <c r="G406" s="3" t="str">
        <f>"Viking"</f>
        <v>Viking</v>
      </c>
      <c r="H406" s="2" t="str">
        <f>"2012"</f>
        <v>2012</v>
      </c>
      <c r="I406" s="3" t="str">
        <f>""</f>
        <v/>
      </c>
    </row>
    <row r="407" spans="1:9" x14ac:dyDescent="0.3">
      <c r="A407" s="2">
        <v>406</v>
      </c>
      <c r="B407" s="4">
        <v>1.5</v>
      </c>
      <c r="C407" s="3" t="str">
        <f>"TFC000003088"</f>
        <v>TFC000003088</v>
      </c>
      <c r="D407" s="3" t="str">
        <f>"F800-20-0345-3(AR 1.5)"</f>
        <v>F800-20-0345-3(AR 1.5)</v>
      </c>
      <c r="E407" s="3" t="str">
        <f>"Do you like my bike?"</f>
        <v>Do you like my bike?</v>
      </c>
      <c r="F407" s="3" t="str">
        <f>"Norman Feuti"</f>
        <v>Norman Feuti</v>
      </c>
      <c r="G407" s="3" t="str">
        <f>"Scholastic"</f>
        <v>Scholastic</v>
      </c>
      <c r="H407" s="2" t="str">
        <f>"2019"</f>
        <v>2019</v>
      </c>
      <c r="I407" s="3" t="str">
        <f>""</f>
        <v/>
      </c>
    </row>
    <row r="408" spans="1:9" x14ac:dyDescent="0.3">
      <c r="A408" s="2">
        <v>407</v>
      </c>
      <c r="B408" s="4" t="s">
        <v>17</v>
      </c>
      <c r="C408" s="3" t="str">
        <f>"TFC000003436"</f>
        <v>TFC000003436</v>
      </c>
      <c r="D408" s="3" t="str">
        <f>"F800-21-0070-(AR 1.6)"</f>
        <v>F800-21-0070-(AR 1.6)</v>
      </c>
      <c r="E408" s="3" t="str">
        <f>"Pretty Pru"</f>
        <v>Pretty Pru</v>
      </c>
      <c r="F408" s="3" t="str">
        <f>"by Polly Dunbar"</f>
        <v>by Polly Dunbar</v>
      </c>
      <c r="G408" s="3" t="str">
        <f>"Walker"</f>
        <v>Walker</v>
      </c>
      <c r="H408" s="2" t="str">
        <f>"2012"</f>
        <v>2012</v>
      </c>
      <c r="I408" s="2" t="s">
        <v>2</v>
      </c>
    </row>
    <row r="409" spans="1:9" x14ac:dyDescent="0.3">
      <c r="A409" s="2">
        <v>408</v>
      </c>
      <c r="B409" s="4" t="s">
        <v>17</v>
      </c>
      <c r="C409" s="3" t="str">
        <f>"TFC000003438"</f>
        <v>TFC000003438</v>
      </c>
      <c r="D409" s="3" t="str">
        <f>"F800-21-0071-(AR 1.6)"</f>
        <v>F800-21-0071-(AR 1.6)</v>
      </c>
      <c r="E409" s="3" t="str">
        <f>"Where's Tumpty?"</f>
        <v>Where's Tumpty?</v>
      </c>
      <c r="F409" s="3" t="str">
        <f>"by Polly Dunbar"</f>
        <v>by Polly Dunbar</v>
      </c>
      <c r="G409" s="3" t="str">
        <f>"Walker"</f>
        <v>Walker</v>
      </c>
      <c r="H409" s="2" t="str">
        <f>"2012"</f>
        <v>2012</v>
      </c>
      <c r="I409" s="2" t="s">
        <v>2</v>
      </c>
    </row>
    <row r="410" spans="1:9" x14ac:dyDescent="0.3">
      <c r="A410" s="2">
        <v>409</v>
      </c>
      <c r="B410" s="4" t="s">
        <v>17</v>
      </c>
      <c r="C410" s="3" t="str">
        <f>"TFC000000325"</f>
        <v>TFC000000325</v>
      </c>
      <c r="D410" s="3" t="str">
        <f>"F700-20-0350-(AR 1.6)"</f>
        <v>F700-20-0350-(AR 1.6)</v>
      </c>
      <c r="E410" s="3" t="str">
        <f>"Eats, shoots ＆ leaves : why, commas really do make a difference!"</f>
        <v>Eats, shoots ＆ leaves : why, commas really do make a difference!</v>
      </c>
      <c r="F410" s="3" t="str">
        <f>"by Lynne Truss ; illustrated by Bonnie Timmons"</f>
        <v>by Lynne Truss ; illustrated by Bonnie Timmons</v>
      </c>
      <c r="G410" s="3" t="str">
        <f>"G. P. Putnam's Sons"</f>
        <v>G. P. Putnam's Sons</v>
      </c>
      <c r="H410" s="2" t="str">
        <f>"2006"</f>
        <v>2006</v>
      </c>
      <c r="I410" s="3" t="str">
        <f>""</f>
        <v/>
      </c>
    </row>
    <row r="411" spans="1:9" x14ac:dyDescent="0.3">
      <c r="A411" s="2">
        <v>410</v>
      </c>
      <c r="B411" s="4" t="s">
        <v>17</v>
      </c>
      <c r="C411" s="3" t="str">
        <f>"TFC000000326"</f>
        <v>TFC000000326</v>
      </c>
      <c r="D411" s="3" t="str">
        <f>"F800-20-0351-(AR 1.6)"</f>
        <v>F800-20-0351-(AR 1.6)</v>
      </c>
      <c r="E411" s="3" t="str">
        <f>"(The)berenstain bears catch the bus"</f>
        <v>(The)berenstain bears catch the bus</v>
      </c>
      <c r="F411" s="3" t="str">
        <f>"by Stan Berenstain, Jan Berenstain"</f>
        <v>by Stan Berenstain, Jan Berenstain</v>
      </c>
      <c r="G411" s="3" t="str">
        <f>"Random House"</f>
        <v>Random House</v>
      </c>
      <c r="H411" s="2" t="str">
        <f>"1999"</f>
        <v>1999</v>
      </c>
      <c r="I411" s="3" t="str">
        <f>""</f>
        <v/>
      </c>
    </row>
    <row r="412" spans="1:9" x14ac:dyDescent="0.3">
      <c r="A412" s="2">
        <v>411</v>
      </c>
      <c r="B412" s="4" t="s">
        <v>17</v>
      </c>
      <c r="C412" s="3" t="str">
        <f>"TFC000000327"</f>
        <v>TFC000000327</v>
      </c>
      <c r="D412" s="3" t="str">
        <f>"F800-20-0352-(AR 1.6)"</f>
        <v>F800-20-0352-(AR 1.6)</v>
      </c>
      <c r="E412" s="3" t="str">
        <f>"Are you my mother?"</f>
        <v>Are you my mother?</v>
      </c>
      <c r="F412" s="3" t="str">
        <f>"written and illustrated by P.D. Eastman"</f>
        <v>written and illustrated by P.D. Eastman</v>
      </c>
      <c r="G412" s="3" t="str">
        <f>"Random House"</f>
        <v>Random House</v>
      </c>
      <c r="H412" s="2" t="str">
        <f>"1988"</f>
        <v>1988</v>
      </c>
      <c r="I412" s="3" t="str">
        <f>""</f>
        <v/>
      </c>
    </row>
    <row r="413" spans="1:9" x14ac:dyDescent="0.3">
      <c r="A413" s="2">
        <v>412</v>
      </c>
      <c r="B413" s="4" t="s">
        <v>17</v>
      </c>
      <c r="C413" s="3" t="str">
        <f>"TFC000000328"</f>
        <v>TFC000000328</v>
      </c>
      <c r="D413" s="3" t="str">
        <f>"F800-20-0353-(AR 1.6)"</f>
        <v>F800-20-0353-(AR 1.6)</v>
      </c>
      <c r="E413" s="3" t="str">
        <f>"I was so mad"</f>
        <v>I was so mad</v>
      </c>
      <c r="F413" s="3" t="str">
        <f>"Mayer Mercer"</f>
        <v>Mayer Mercer</v>
      </c>
      <c r="G413" s="3" t="str">
        <f>"Random House Books"</f>
        <v>Random House Books</v>
      </c>
      <c r="H413" s="2" t="str">
        <f>"2006"</f>
        <v>2006</v>
      </c>
      <c r="I413" s="3" t="str">
        <f>""</f>
        <v/>
      </c>
    </row>
    <row r="414" spans="1:9" x14ac:dyDescent="0.3">
      <c r="A414" s="2">
        <v>413</v>
      </c>
      <c r="B414" s="4" t="s">
        <v>17</v>
      </c>
      <c r="C414" s="3" t="str">
        <f>"TFC000000329"</f>
        <v>TFC000000329</v>
      </c>
      <c r="D414" s="3" t="str">
        <f>"F800-20-0354-(AR 1.6)"</f>
        <v>F800-20-0354-(AR 1.6)</v>
      </c>
      <c r="E414" s="3" t="str">
        <f>"Ready, set, go"</f>
        <v>Ready, set, go</v>
      </c>
      <c r="F414" s="3" t="str">
        <f>"story and pictures by John Stadler"</f>
        <v>story and pictures by John Stadler</v>
      </c>
      <c r="G414" s="3" t="str">
        <f>"HarperCollins Publishers"</f>
        <v>HarperCollins Publishers</v>
      </c>
      <c r="H414" s="2" t="str">
        <f>"1998"</f>
        <v>1998</v>
      </c>
      <c r="I414" s="3" t="str">
        <f>""</f>
        <v/>
      </c>
    </row>
    <row r="415" spans="1:9" x14ac:dyDescent="0.3">
      <c r="A415" s="2">
        <v>414</v>
      </c>
      <c r="B415" s="4" t="s">
        <v>17</v>
      </c>
      <c r="C415" s="3" t="str">
        <f>"TFC000000332"</f>
        <v>TFC000000332</v>
      </c>
      <c r="D415" s="3" t="str">
        <f>"F800-20-0357-(AR 1.6)"</f>
        <v>F800-20-0357-(AR 1.6)</v>
      </c>
      <c r="E415" s="3" t="str">
        <f>"Fly guy and the frankenfly"</f>
        <v>Fly guy and the frankenfly</v>
      </c>
      <c r="F415" s="3" t="str">
        <f>"Tedd Arnold"</f>
        <v>Tedd Arnold</v>
      </c>
      <c r="G415" s="3" t="str">
        <f>"Cartwheel Books:Scholastic"</f>
        <v>Cartwheel Books:Scholastic</v>
      </c>
      <c r="H415" s="2" t="str">
        <f>"2013"</f>
        <v>2013</v>
      </c>
      <c r="I415" s="3" t="str">
        <f>""</f>
        <v/>
      </c>
    </row>
    <row r="416" spans="1:9" x14ac:dyDescent="0.3">
      <c r="A416" s="2">
        <v>415</v>
      </c>
      <c r="B416" s="4" t="s">
        <v>17</v>
      </c>
      <c r="C416" s="3" t="str">
        <f>"TFC000000333"</f>
        <v>TFC000000333</v>
      </c>
      <c r="D416" s="3" t="str">
        <f>"F800-20-0358-(AR 1.6)"</f>
        <v>F800-20-0358-(AR 1.6)</v>
      </c>
      <c r="E416" s="3" t="str">
        <f>"Hooray for fly guy!"</f>
        <v>Hooray for fly guy!</v>
      </c>
      <c r="F416" s="3" t="str">
        <f>"by Tedd Arnold"</f>
        <v>by Tedd Arnold</v>
      </c>
      <c r="G416" s="3" t="str">
        <f>"Cartwheel Books"</f>
        <v>Cartwheel Books</v>
      </c>
      <c r="H416" s="2" t="str">
        <f>"2008"</f>
        <v>2008</v>
      </c>
      <c r="I416" s="3" t="str">
        <f>""</f>
        <v/>
      </c>
    </row>
    <row r="417" spans="1:9" x14ac:dyDescent="0.3">
      <c r="A417" s="2">
        <v>416</v>
      </c>
      <c r="B417" s="4" t="s">
        <v>17</v>
      </c>
      <c r="C417" s="3" t="str">
        <f>"TFC000000334"</f>
        <v>TFC000000334</v>
      </c>
      <c r="D417" s="3" t="str">
        <f>"F800-20-0359-(AR 1.6)"</f>
        <v>F800-20-0359-(AR 1.6)</v>
      </c>
      <c r="E417" s="3" t="str">
        <f>"There was an old lady who swallowed fly guy"</f>
        <v>There was an old lady who swallowed fly guy</v>
      </c>
      <c r="F417" s="3" t="str">
        <f>"by Tedd Arnold"</f>
        <v>by Tedd Arnold</v>
      </c>
      <c r="G417" s="3" t="str">
        <f>"Cartwheel Books:Scholastic"</f>
        <v>Cartwheel Books:Scholastic</v>
      </c>
      <c r="H417" s="2" t="str">
        <f>"2007"</f>
        <v>2007</v>
      </c>
      <c r="I417" s="3" t="str">
        <f>""</f>
        <v/>
      </c>
    </row>
    <row r="418" spans="1:9" x14ac:dyDescent="0.3">
      <c r="A418" s="2">
        <v>417</v>
      </c>
      <c r="B418" s="4" t="s">
        <v>17</v>
      </c>
      <c r="C418" s="3" t="str">
        <f>"TFC000000335"</f>
        <v>TFC000000335</v>
      </c>
      <c r="D418" s="3" t="str">
        <f>"F800-20-0360-(AR 1.6)"</f>
        <v>F800-20-0360-(AR 1.6)</v>
      </c>
      <c r="E418" s="3" t="str">
        <f>"Wind"</f>
        <v>Wind</v>
      </c>
      <c r="F418" s="3" t="str">
        <f>"written by Marion Dane Bauer ; illustrated by John Wallace"</f>
        <v>written by Marion Dane Bauer ; illustrated by John Wallace</v>
      </c>
      <c r="G418" s="3" t="str">
        <f>"Simon Spotligh"</f>
        <v>Simon Spotligh</v>
      </c>
      <c r="H418" s="2" t="str">
        <f>"2016"</f>
        <v>2016</v>
      </c>
      <c r="I418" s="3" t="str">
        <f>""</f>
        <v/>
      </c>
    </row>
    <row r="419" spans="1:9" x14ac:dyDescent="0.3">
      <c r="A419" s="2">
        <v>418</v>
      </c>
      <c r="B419" s="4" t="s">
        <v>17</v>
      </c>
      <c r="C419" s="3" t="str">
        <f>"TFC000000336"</f>
        <v>TFC000000336</v>
      </c>
      <c r="D419" s="3" t="str">
        <f>"F800-20-0361-(AR 1.6)"</f>
        <v>F800-20-0361-(AR 1.6)</v>
      </c>
      <c r="E419" s="3" t="str">
        <f>"Class picture day"</f>
        <v>Class picture day</v>
      </c>
      <c r="F419" s="3" t="str">
        <f>"by Andrea Buckless ; illustrated by Patti Goodnow"</f>
        <v>by Andrea Buckless ; illustrated by Patti Goodnow</v>
      </c>
      <c r="G419" s="3" t="str">
        <f>"Scholastic"</f>
        <v>Scholastic</v>
      </c>
      <c r="H419" s="2" t="str">
        <f>"2003"</f>
        <v>2003</v>
      </c>
      <c r="I419" s="3" t="str">
        <f>""</f>
        <v/>
      </c>
    </row>
    <row r="420" spans="1:9" x14ac:dyDescent="0.3">
      <c r="A420" s="2">
        <v>419</v>
      </c>
      <c r="B420" s="4" t="s">
        <v>17</v>
      </c>
      <c r="C420" s="3" t="str">
        <f>"TFC000000337"</f>
        <v>TFC000000337</v>
      </c>
      <c r="D420" s="3" t="str">
        <f>"F800-20-0362-(AR 1.6)"</f>
        <v>F800-20-0362-(AR 1.6)</v>
      </c>
      <c r="E420" s="3" t="str">
        <f>"Platypus!"</f>
        <v>Platypus!</v>
      </c>
      <c r="F420" s="3" t="str">
        <f>"by Ginjer L. Clarke ; illustrated by Paul Mirocha"</f>
        <v>by Ginjer L. Clarke ; illustrated by Paul Mirocha</v>
      </c>
      <c r="G420" s="3" t="str">
        <f>"Random House"</f>
        <v>Random House</v>
      </c>
      <c r="H420" s="2" t="str">
        <f>"2004"</f>
        <v>2004</v>
      </c>
      <c r="I420" s="3" t="str">
        <f>""</f>
        <v/>
      </c>
    </row>
    <row r="421" spans="1:9" x14ac:dyDescent="0.3">
      <c r="A421" s="2">
        <v>420</v>
      </c>
      <c r="B421" s="4" t="s">
        <v>17</v>
      </c>
      <c r="C421" s="3" t="str">
        <f>"TFC000000338"</f>
        <v>TFC000000338</v>
      </c>
      <c r="D421" s="3" t="str">
        <f>"F800-20-0363-(AR 1.6)"</f>
        <v>F800-20-0363-(AR 1.6)</v>
      </c>
      <c r="E421" s="3" t="str">
        <f>"Llama Llama home with Mama"</f>
        <v>Llama Llama home with Mama</v>
      </c>
      <c r="F421" s="3" t="str">
        <f>"Anna Dewdney"</f>
        <v>Anna Dewdney</v>
      </c>
      <c r="G421" s="3" t="str">
        <f>"Viking"</f>
        <v>Viking</v>
      </c>
      <c r="H421" s="2" t="str">
        <f>"2011"</f>
        <v>2011</v>
      </c>
      <c r="I421" s="3" t="str">
        <f>""</f>
        <v/>
      </c>
    </row>
    <row r="422" spans="1:9" x14ac:dyDescent="0.3">
      <c r="A422" s="2">
        <v>421</v>
      </c>
      <c r="B422" s="4" t="s">
        <v>17</v>
      </c>
      <c r="C422" s="3" t="str">
        <f>"TFC000000339"</f>
        <v>TFC000000339</v>
      </c>
      <c r="D422" s="3" t="str">
        <f>"F800-20-0364-(AR 1.6)"</f>
        <v>F800-20-0364-(AR 1.6)</v>
      </c>
      <c r="E422" s="3" t="str">
        <f>"Llama Llama misses mama"</f>
        <v>Llama Llama misses mama</v>
      </c>
      <c r="F422" s="3" t="str">
        <f>"Anna Dewdney"</f>
        <v>Anna Dewdney</v>
      </c>
      <c r="G422" s="3" t="str">
        <f>"Viking"</f>
        <v>Viking</v>
      </c>
      <c r="H422" s="2" t="str">
        <f>"2009"</f>
        <v>2009</v>
      </c>
      <c r="I422" s="3" t="str">
        <f>""</f>
        <v/>
      </c>
    </row>
    <row r="423" spans="1:9" x14ac:dyDescent="0.3">
      <c r="A423" s="2">
        <v>422</v>
      </c>
      <c r="B423" s="4" t="s">
        <v>17</v>
      </c>
      <c r="C423" s="3" t="str">
        <f>"TFC000000341"</f>
        <v>TFC000000341</v>
      </c>
      <c r="D423" s="3" t="str">
        <f>"F800-20-0366-(AR 1.6)"</f>
        <v>F800-20-0366-(AR 1.6)</v>
      </c>
      <c r="E423" s="3" t="str">
        <f>"Dixie and the big bully"</f>
        <v>Dixie and the big bully</v>
      </c>
      <c r="F423" s="3" t="str">
        <f>"by Grace Gilman ; pictures by Sarah McConnell"</f>
        <v>by Grace Gilman ; pictures by Sarah McConnell</v>
      </c>
      <c r="G423" s="3" t="str">
        <f>"Harper"</f>
        <v>Harper</v>
      </c>
      <c r="H423" s="2" t="str">
        <f>"2013"</f>
        <v>2013</v>
      </c>
      <c r="I423" s="3" t="str">
        <f>""</f>
        <v/>
      </c>
    </row>
    <row r="424" spans="1:9" x14ac:dyDescent="0.3">
      <c r="A424" s="2">
        <v>423</v>
      </c>
      <c r="B424" s="4" t="s">
        <v>17</v>
      </c>
      <c r="C424" s="3" t="str">
        <f>"TFC000000342"</f>
        <v>TFC000000342</v>
      </c>
      <c r="D424" s="3" t="str">
        <f>"F800-20-0367-(AR 1.6)"</f>
        <v>F800-20-0367-(AR 1.6)</v>
      </c>
      <c r="E424" s="3" t="s">
        <v>0</v>
      </c>
      <c r="F424" s="3" t="str">
        <f>"by Judyann Ackerman Grant ; pictures by Sue Truesdell"</f>
        <v>by Judyann Ackerman Grant ; pictures by Sue Truesdell</v>
      </c>
      <c r="G424" s="3" t="str">
        <f>"HarperTrophy"</f>
        <v>HarperTrophy</v>
      </c>
      <c r="H424" s="2" t="str">
        <f>"2008"</f>
        <v>2008</v>
      </c>
      <c r="I424" s="3" t="str">
        <f>""</f>
        <v/>
      </c>
    </row>
    <row r="425" spans="1:9" x14ac:dyDescent="0.3">
      <c r="A425" s="2">
        <v>424</v>
      </c>
      <c r="B425" s="4" t="s">
        <v>17</v>
      </c>
      <c r="C425" s="3" t="str">
        <f>"TFC000000343"</f>
        <v>TFC000000343</v>
      </c>
      <c r="D425" s="3" t="str">
        <f>"F800-20-0368-(AR 1.6)"</f>
        <v>F800-20-0368-(AR 1.6)</v>
      </c>
      <c r="E425" s="3" t="str">
        <f>"Pinkalicious soccer star"</f>
        <v>Pinkalicious soccer star</v>
      </c>
      <c r="F425" s="3" t="str">
        <f>"by Victoria Kann"</f>
        <v>by Victoria Kann</v>
      </c>
      <c r="G425" s="3" t="str">
        <f>"HarperTrophy"</f>
        <v>HarperTrophy</v>
      </c>
      <c r="H425" s="2" t="str">
        <f>"2012"</f>
        <v>2012</v>
      </c>
      <c r="I425" s="3" t="str">
        <f>""</f>
        <v/>
      </c>
    </row>
    <row r="426" spans="1:9" x14ac:dyDescent="0.3">
      <c r="A426" s="2">
        <v>425</v>
      </c>
      <c r="B426" s="4" t="s">
        <v>17</v>
      </c>
      <c r="C426" s="3" t="str">
        <f>"TFC000000344"</f>
        <v>TFC000000344</v>
      </c>
      <c r="D426" s="3" t="str">
        <f>"F800-20-0369-(AR 1.6)"</f>
        <v>F800-20-0369-(AR 1.6)</v>
      </c>
      <c r="E426" s="3" t="str">
        <f>"Kipper and the trolls"</f>
        <v>Kipper and the trolls</v>
      </c>
      <c r="F426" s="3" t="str">
        <f>"written by Roderick Hunt ; illustrated by Alex Brychta"</f>
        <v>written by Roderick Hunt ; illustrated by Alex Brychta</v>
      </c>
      <c r="G426" s="3" t="str">
        <f>"Oxford University Press"</f>
        <v>Oxford University Press</v>
      </c>
      <c r="H426" s="2" t="str">
        <f>"2011"</f>
        <v>2011</v>
      </c>
      <c r="I426" s="3" t="str">
        <f>""</f>
        <v/>
      </c>
    </row>
    <row r="427" spans="1:9" x14ac:dyDescent="0.3">
      <c r="A427" s="2">
        <v>426</v>
      </c>
      <c r="B427" s="4" t="s">
        <v>17</v>
      </c>
      <c r="C427" s="3" t="str">
        <f>"TFC000000345"</f>
        <v>TFC000000345</v>
      </c>
      <c r="D427" s="3" t="str">
        <f>"F800-20-0370-(AR 1.6)"</f>
        <v>F800-20-0370-(AR 1.6)</v>
      </c>
      <c r="E427" s="3" t="str">
        <f>"(The)new baby"</f>
        <v>(The)new baby</v>
      </c>
      <c r="F427" s="3" t="str">
        <f>"written by Roderick Hunt ; illustrated by Alex Brychta"</f>
        <v>written by Roderick Hunt ; illustrated by Alex Brychta</v>
      </c>
      <c r="G427" s="3" t="str">
        <f>"Oxford University Press"</f>
        <v>Oxford University Press</v>
      </c>
      <c r="H427" s="2" t="str">
        <f>"2011"</f>
        <v>2011</v>
      </c>
      <c r="I427" s="3" t="str">
        <f>""</f>
        <v/>
      </c>
    </row>
    <row r="428" spans="1:9" x14ac:dyDescent="0.3">
      <c r="A428" s="2">
        <v>427</v>
      </c>
      <c r="B428" s="4" t="s">
        <v>17</v>
      </c>
      <c r="C428" s="3" t="str">
        <f>"TFC000000347"</f>
        <v>TFC000000347</v>
      </c>
      <c r="D428" s="3" t="str">
        <f>"F800-20-0372-(AR 1.6)"</f>
        <v>F800-20-0372-(AR 1.6)</v>
      </c>
      <c r="E428" s="3" t="str">
        <f>"Vanishing cream"</f>
        <v>Vanishing cream</v>
      </c>
      <c r="F428" s="3" t="str">
        <f>"written by Roderick Hunt ; illustrated by Alex Brychta"</f>
        <v>written by Roderick Hunt ; illustrated by Alex Brychta</v>
      </c>
      <c r="G428" s="3" t="str">
        <f>"Oxford University Press"</f>
        <v>Oxford University Press</v>
      </c>
      <c r="H428" s="2" t="str">
        <f>"2011"</f>
        <v>2011</v>
      </c>
      <c r="I428" s="3" t="str">
        <f>""</f>
        <v/>
      </c>
    </row>
    <row r="429" spans="1:9" x14ac:dyDescent="0.3">
      <c r="A429" s="2">
        <v>428</v>
      </c>
      <c r="B429" s="4" t="s">
        <v>17</v>
      </c>
      <c r="C429" s="3" t="str">
        <f>"TFC000000348"</f>
        <v>TFC000000348</v>
      </c>
      <c r="D429" s="3" t="str">
        <f>"F800-20-0373-(AR 1.6)"</f>
        <v>F800-20-0373-(AR 1.6)</v>
      </c>
      <c r="E429" s="3" t="str">
        <f>"Curious George cleans up"</f>
        <v>Curious George cleans up</v>
      </c>
      <c r="F429" s="3" t="str">
        <f>"adaptation by Stephen Krensky ; based on the TV series teleplay written by Joe Fallon"</f>
        <v>adaptation by Stephen Krensky ; based on the TV series teleplay written by Joe Fallon</v>
      </c>
      <c r="G429" s="3" t="str">
        <f>"Houghton Mifflin Company"</f>
        <v>Houghton Mifflin Company</v>
      </c>
      <c r="H429" s="2" t="str">
        <f>"2007"</f>
        <v>2007</v>
      </c>
      <c r="I429" s="3" t="str">
        <f>""</f>
        <v/>
      </c>
    </row>
    <row r="430" spans="1:9" x14ac:dyDescent="0.3">
      <c r="A430" s="2">
        <v>429</v>
      </c>
      <c r="B430" s="4" t="s">
        <v>17</v>
      </c>
      <c r="C430" s="3" t="str">
        <f>"TFC000000349"</f>
        <v>TFC000000349</v>
      </c>
      <c r="D430" s="3" t="str">
        <f>"F800-20-0374-(AR 1.6)"</f>
        <v>F800-20-0374-(AR 1.6)</v>
      </c>
      <c r="E430" s="3" t="str">
        <f>"I can only draw worms"</f>
        <v>I can only draw worms</v>
      </c>
      <c r="F430" s="3" t="str">
        <f>"by Will Mabbitt"</f>
        <v>by Will Mabbitt</v>
      </c>
      <c r="G430" s="3" t="str">
        <f>"Penguin Workshop"</f>
        <v>Penguin Workshop</v>
      </c>
      <c r="H430" s="2" t="str">
        <f>"2019"</f>
        <v>2019</v>
      </c>
      <c r="I430" s="3" t="str">
        <f>""</f>
        <v/>
      </c>
    </row>
    <row r="431" spans="1:9" x14ac:dyDescent="0.3">
      <c r="A431" s="2">
        <v>430</v>
      </c>
      <c r="B431" s="4" t="s">
        <v>17</v>
      </c>
      <c r="C431" s="3" t="str">
        <f>"TFC000000350"</f>
        <v>TFC000000350</v>
      </c>
      <c r="D431" s="3" t="str">
        <f>"F800-20-0375-(AR 1.6)"</f>
        <v>F800-20-0375-(AR 1.6)</v>
      </c>
      <c r="E431" s="3" t="str">
        <f>"My tooth is about to fall out"</f>
        <v>My tooth is about to fall out</v>
      </c>
      <c r="F431" s="3" t="str">
        <f>"by Grace Maccarone ; illustrated by Betsy Lewin"</f>
        <v>by Grace Maccarone ; illustrated by Betsy Lewin</v>
      </c>
      <c r="G431" s="3" t="str">
        <f>"Scholastic"</f>
        <v>Scholastic</v>
      </c>
      <c r="H431" s="2" t="str">
        <f>"2003"</f>
        <v>2003</v>
      </c>
      <c r="I431" s="3" t="str">
        <f>""</f>
        <v/>
      </c>
    </row>
    <row r="432" spans="1:9" x14ac:dyDescent="0.3">
      <c r="A432" s="2">
        <v>431</v>
      </c>
      <c r="B432" s="4" t="s">
        <v>17</v>
      </c>
      <c r="C432" s="3" t="str">
        <f>"TFC000000351"</f>
        <v>TFC000000351</v>
      </c>
      <c r="D432" s="3" t="str">
        <f>"F800-20-0376-(AR 1.6)"</f>
        <v>F800-20-0376-(AR 1.6)</v>
      </c>
      <c r="E432" s="3" t="str">
        <f>"Exploring the great outdoors"</f>
        <v>Exploring the great outdoors</v>
      </c>
      <c r="F432" s="3" t="str">
        <f>"by Mercer Mayer"</f>
        <v>by Mercer Mayer</v>
      </c>
      <c r="G432" s="3" t="str">
        <f>"Harper"</f>
        <v>Harper</v>
      </c>
      <c r="H432" s="2" t="str">
        <f>"2019"</f>
        <v>2019</v>
      </c>
      <c r="I432" s="3" t="str">
        <f>""</f>
        <v/>
      </c>
    </row>
    <row r="433" spans="1:9" x14ac:dyDescent="0.3">
      <c r="A433" s="2">
        <v>432</v>
      </c>
      <c r="B433" s="4" t="s">
        <v>17</v>
      </c>
      <c r="C433" s="3" t="str">
        <f>"TFC000000353"</f>
        <v>TFC000000353</v>
      </c>
      <c r="D433" s="3" t="str">
        <f>"F800-20-0378-(AR 1.6)"</f>
        <v>F800-20-0378-(AR 1.6)</v>
      </c>
      <c r="E433" s="3" t="str">
        <f>"Pilot pups"</f>
        <v>Pilot pups</v>
      </c>
      <c r="F433" s="3" t="str">
        <f>"by Michelle Meadows ; illustrated by Dan Andreasen"</f>
        <v>by Michelle Meadows ; illustrated by Dan Andreasen</v>
      </c>
      <c r="G433" s="3" t="str">
        <f>"Simon &amp; Schuster Books for Young Readers"</f>
        <v>Simon &amp; Schuster Books for Young Readers</v>
      </c>
      <c r="H433" s="2" t="str">
        <f>"2009"</f>
        <v>2009</v>
      </c>
      <c r="I433" s="3" t="str">
        <f>""</f>
        <v/>
      </c>
    </row>
    <row r="434" spans="1:9" x14ac:dyDescent="0.3">
      <c r="A434" s="2">
        <v>433</v>
      </c>
      <c r="B434" s="4" t="s">
        <v>17</v>
      </c>
      <c r="C434" s="3" t="str">
        <f>"TFC000000354"</f>
        <v>TFC000000354</v>
      </c>
      <c r="D434" s="3" t="str">
        <f>"F800-20-0379-(AR 1.6)"</f>
        <v>F800-20-0379-(AR 1.6)</v>
      </c>
      <c r="E434" s="3" t="str">
        <f>"Moon"</f>
        <v>Moon</v>
      </c>
      <c r="F434" s="3" t="str">
        <f>"Alison Oliver"</f>
        <v>Alison Oliver</v>
      </c>
      <c r="G434" s="3" t="str">
        <f>"Clarion Books"</f>
        <v>Clarion Books</v>
      </c>
      <c r="H434" s="2" t="str">
        <f>"2018"</f>
        <v>2018</v>
      </c>
      <c r="I434" s="3" t="str">
        <f>""</f>
        <v/>
      </c>
    </row>
    <row r="435" spans="1:9" x14ac:dyDescent="0.3">
      <c r="A435" s="2">
        <v>434</v>
      </c>
      <c r="B435" s="4" t="s">
        <v>17</v>
      </c>
      <c r="C435" s="3" t="str">
        <f>"TFC000000355"</f>
        <v>TFC000000355</v>
      </c>
      <c r="D435" s="3" t="str">
        <f>"F800-20-0380-(AR 1.6)"</f>
        <v>F800-20-0380-(AR 1.6)</v>
      </c>
      <c r="E435" s="3" t="str">
        <f>"Chopsticks"</f>
        <v>Chopsticks</v>
      </c>
      <c r="F435" s="3" t="str">
        <f>"written by Amy Krouse Rosenthal ; illustrated by Scott Magoon"</f>
        <v>written by Amy Krouse Rosenthal ; illustrated by Scott Magoon</v>
      </c>
      <c r="G435" s="3" t="str">
        <f>"Disney·Hyperion"</f>
        <v>Disney·Hyperion</v>
      </c>
      <c r="H435" s="2" t="str">
        <f>"2012"</f>
        <v>2012</v>
      </c>
      <c r="I435" s="3" t="str">
        <f>""</f>
        <v/>
      </c>
    </row>
    <row r="436" spans="1:9" x14ac:dyDescent="0.3">
      <c r="A436" s="2">
        <v>435</v>
      </c>
      <c r="B436" s="4" t="s">
        <v>17</v>
      </c>
      <c r="C436" s="3" t="str">
        <f>"TFC000000356"</f>
        <v>TFC000000356</v>
      </c>
      <c r="D436" s="3" t="str">
        <f>"F800-20-0381-(AR 1.6)"</f>
        <v>F800-20-0381-(AR 1.6)</v>
      </c>
      <c r="E436" s="3" t="str">
        <f>"Money, money, honey bunny!"</f>
        <v>Money, money, honey bunny!</v>
      </c>
      <c r="F436" s="3" t="str">
        <f>"by Marilyn Sadler ; illustrated by Roger Bollen"</f>
        <v>by Marilyn Sadler ; illustrated by Roger Bollen</v>
      </c>
      <c r="G436" s="3" t="str">
        <f>"Random House"</f>
        <v>Random House</v>
      </c>
      <c r="H436" s="2" t="str">
        <f>"2006"</f>
        <v>2006</v>
      </c>
      <c r="I436" s="3" t="str">
        <f>""</f>
        <v/>
      </c>
    </row>
    <row r="437" spans="1:9" x14ac:dyDescent="0.3">
      <c r="A437" s="2">
        <v>436</v>
      </c>
      <c r="B437" s="4" t="s">
        <v>17</v>
      </c>
      <c r="C437" s="3" t="str">
        <f>"TFC000000357"</f>
        <v>TFC000000357</v>
      </c>
      <c r="D437" s="3" t="str">
        <f>"F800-20-0382-(AR 1.6)"</f>
        <v>F800-20-0382-(AR 1.6)</v>
      </c>
      <c r="E437" s="3" t="str">
        <f>"(A)little chicken"</f>
        <v>(A)little chicken</v>
      </c>
      <c r="F437" s="3" t="str">
        <f>"by Tammi Sauer ; illustrated by Dan Taylor"</f>
        <v>by Tammi Sauer ; illustrated by Dan Taylor</v>
      </c>
      <c r="G437" s="3" t="str">
        <f>"Sterling Children's Books"</f>
        <v>Sterling Children's Books</v>
      </c>
      <c r="H437" s="2" t="str">
        <f>"2019"</f>
        <v>2019</v>
      </c>
      <c r="I437" s="3" t="str">
        <f>""</f>
        <v/>
      </c>
    </row>
    <row r="438" spans="1:9" x14ac:dyDescent="0.3">
      <c r="A438" s="2">
        <v>437</v>
      </c>
      <c r="B438" s="4" t="s">
        <v>17</v>
      </c>
      <c r="C438" s="3" t="str">
        <f>"TFC000000358"</f>
        <v>TFC000000358</v>
      </c>
      <c r="D438" s="3" t="str">
        <f>"F800-20-0383-(AR 1.6)"</f>
        <v>F800-20-0383-(AR 1.6)</v>
      </c>
      <c r="E438" s="3" t="str">
        <f>"Smash! Crash!"</f>
        <v>Smash! Crash!</v>
      </c>
      <c r="F438" s="3" t="str">
        <f>"written by Jon Scieszka ; illustrations created by David Shannon, Loren Long, David Gordon"</f>
        <v>written by Jon Scieszka ; illustrations created by David Shannon, Loren Long, David Gordon</v>
      </c>
      <c r="G438" s="3" t="str">
        <f>"Simon &amp; Schuster Books for Young Readers"</f>
        <v>Simon &amp; Schuster Books for Young Readers</v>
      </c>
      <c r="H438" s="2" t="str">
        <f>"2008"</f>
        <v>2008</v>
      </c>
      <c r="I438" s="3" t="str">
        <f>""</f>
        <v/>
      </c>
    </row>
    <row r="439" spans="1:9" x14ac:dyDescent="0.3">
      <c r="A439" s="2">
        <v>438</v>
      </c>
      <c r="B439" s="4" t="s">
        <v>17</v>
      </c>
      <c r="C439" s="3" t="str">
        <f>"TFC000000359"</f>
        <v>TFC000000359</v>
      </c>
      <c r="D439" s="3" t="str">
        <f>"F800-20-0384-(AR 1.6)"</f>
        <v>F800-20-0384-(AR 1.6)</v>
      </c>
      <c r="E439" s="3" t="str">
        <f>"Snow"</f>
        <v>Snow</v>
      </c>
      <c r="F439" s="3" t="str">
        <f>"by Uri Shulevitz"</f>
        <v>by Uri Shulevitz</v>
      </c>
      <c r="G439" s="3" t="str">
        <f>"Square Fish"</f>
        <v>Square Fish</v>
      </c>
      <c r="H439" s="2" t="str">
        <f>"2011"</f>
        <v>2011</v>
      </c>
      <c r="I439" s="3" t="str">
        <f>""</f>
        <v/>
      </c>
    </row>
    <row r="440" spans="1:9" x14ac:dyDescent="0.3">
      <c r="A440" s="2">
        <v>439</v>
      </c>
      <c r="B440" s="4" t="s">
        <v>17</v>
      </c>
      <c r="C440" s="3" t="str">
        <f>"TFC000000360"</f>
        <v>TFC000000360</v>
      </c>
      <c r="D440" s="3" t="str">
        <f>"F800-20-0385-(AR 1.6)"</f>
        <v>F800-20-0385-(AR 1.6)</v>
      </c>
      <c r="E440" s="3" t="str">
        <f>"(A)perfect day"</f>
        <v>(A)perfect day</v>
      </c>
      <c r="F440" s="3" t="str">
        <f>"Lane Smith"</f>
        <v>Lane Smith</v>
      </c>
      <c r="G440" s="3" t="str">
        <f>"Roaring Brook Press"</f>
        <v>Roaring Brook Press</v>
      </c>
      <c r="H440" s="2" t="str">
        <f>"2017"</f>
        <v>2017</v>
      </c>
      <c r="I440" s="3" t="str">
        <f>""</f>
        <v/>
      </c>
    </row>
    <row r="441" spans="1:9" x14ac:dyDescent="0.3">
      <c r="A441" s="2">
        <v>440</v>
      </c>
      <c r="B441" s="4" t="s">
        <v>17</v>
      </c>
      <c r="C441" s="3" t="str">
        <f>"TFC000000361"</f>
        <v>TFC000000361</v>
      </c>
      <c r="D441" s="3" t="str">
        <f>"F800-20-0386-(AR 1.6)"</f>
        <v>F800-20-0386-(AR 1.6)</v>
      </c>
      <c r="E441" s="3" t="str">
        <f>"Tea with Oliver"</f>
        <v>Tea with Oliver</v>
      </c>
      <c r="F441" s="3" t="str">
        <f>"by Mika Song"</f>
        <v>by Mika Song</v>
      </c>
      <c r="G441" s="3" t="str">
        <f>"Harper"</f>
        <v>Harper</v>
      </c>
      <c r="H441" s="2" t="str">
        <f>"2017"</f>
        <v>2017</v>
      </c>
      <c r="I441" s="3" t="str">
        <f>""</f>
        <v/>
      </c>
    </row>
    <row r="442" spans="1:9" x14ac:dyDescent="0.3">
      <c r="A442" s="2">
        <v>441</v>
      </c>
      <c r="B442" s="4" t="s">
        <v>17</v>
      </c>
      <c r="C442" s="3" t="str">
        <f>"TFC000000362"</f>
        <v>TFC000000362</v>
      </c>
      <c r="D442" s="3" t="str">
        <f>"F800-20-0387-(AR 1.6)"</f>
        <v>F800-20-0387-(AR 1.6)</v>
      </c>
      <c r="E442" s="3" t="str">
        <f>"I love school!"</f>
        <v>I love school!</v>
      </c>
      <c r="F442" s="3" t="str">
        <f>"by Philemon Sturges ; illustrated by Shari Halpern"</f>
        <v>by Philemon Sturges ; illustrated by Shari Halpern</v>
      </c>
      <c r="G442" s="3" t="str">
        <f>"HarperTrophy"</f>
        <v>HarperTrophy</v>
      </c>
      <c r="H442" s="2" t="str">
        <f>"2004"</f>
        <v>2004</v>
      </c>
      <c r="I442" s="3" t="str">
        <f>""</f>
        <v/>
      </c>
    </row>
    <row r="443" spans="1:9" x14ac:dyDescent="0.3">
      <c r="A443" s="2">
        <v>442</v>
      </c>
      <c r="B443" s="4" t="s">
        <v>17</v>
      </c>
      <c r="C443" s="3" t="str">
        <f>"TFC000000363"</f>
        <v>TFC000000363</v>
      </c>
      <c r="D443" s="3" t="str">
        <f>"F800-20-0388-(AR 1.6)"</f>
        <v>F800-20-0388-(AR 1.6)</v>
      </c>
      <c r="E443" s="3" t="str">
        <f>"(The)house in the night"</f>
        <v>(The)house in the night</v>
      </c>
      <c r="F443" s="3" t="str">
        <f>"by Susan Marie Swanson ; pictures by Beth Krommes"</f>
        <v>by Susan Marie Swanson ; pictures by Beth Krommes</v>
      </c>
      <c r="G443" s="3" t="str">
        <f>"Brdbkedition"</f>
        <v>Brdbkedition</v>
      </c>
      <c r="H443" s="2" t="str">
        <f>"2008"</f>
        <v>2008</v>
      </c>
      <c r="I443" s="3" t="str">
        <f>""</f>
        <v/>
      </c>
    </row>
    <row r="444" spans="1:9" x14ac:dyDescent="0.3">
      <c r="A444" s="2">
        <v>443</v>
      </c>
      <c r="B444" s="4" t="s">
        <v>17</v>
      </c>
      <c r="C444" s="3" t="str">
        <f>"TFC000000364"</f>
        <v>TFC000000364</v>
      </c>
      <c r="D444" s="3" t="str">
        <f>"F800-20-0389-(AR 1.6)"</f>
        <v>F800-20-0389-(AR 1.6)</v>
      </c>
      <c r="E444" s="3" t="str">
        <f>"(The)house in the night"</f>
        <v>(The)house in the night</v>
      </c>
      <c r="F444" s="3" t="str">
        <f>"written by Susan Marie Swanson ; pictures by Beth Krommes"</f>
        <v>written by Susan Marie Swanson ; pictures by Beth Krommes</v>
      </c>
      <c r="G444" s="3" t="str">
        <f>"Houghton Mifflin Company"</f>
        <v>Houghton Mifflin Company</v>
      </c>
      <c r="H444" s="2" t="str">
        <f>"2008"</f>
        <v>2008</v>
      </c>
      <c r="I444" s="3" t="str">
        <f>""</f>
        <v/>
      </c>
    </row>
    <row r="445" spans="1:9" x14ac:dyDescent="0.3">
      <c r="A445" s="2">
        <v>444</v>
      </c>
      <c r="B445" s="4" t="s">
        <v>17</v>
      </c>
      <c r="C445" s="3" t="str">
        <f>"TFC000000366"</f>
        <v>TFC000000366</v>
      </c>
      <c r="D445" s="3" t="str">
        <f>"F800-20-0391-(AR 1.6)"</f>
        <v>F800-20-0391-(AR 1.6)</v>
      </c>
      <c r="E445" s="3" t="str">
        <f>"Knuffle bunny"</f>
        <v>Knuffle bunny</v>
      </c>
      <c r="F445" s="3" t="str">
        <f>"a cautionary tale by Mo Willems"</f>
        <v>a cautionary tale by Mo Willems</v>
      </c>
      <c r="G445" s="3" t="str">
        <f>"Hyperion Books for Children"</f>
        <v>Hyperion Books for Children</v>
      </c>
      <c r="H445" s="2" t="str">
        <f>"2005"</f>
        <v>2005</v>
      </c>
      <c r="I445" s="3" t="str">
        <f>""</f>
        <v/>
      </c>
    </row>
    <row r="446" spans="1:9" x14ac:dyDescent="0.3">
      <c r="A446" s="2">
        <v>445</v>
      </c>
      <c r="B446" s="4" t="s">
        <v>17</v>
      </c>
      <c r="C446" s="3" t="str">
        <f>"TFC000003103"</f>
        <v>TFC000003103</v>
      </c>
      <c r="D446" s="3" t="str">
        <f>"F800-20-0394-(AR 1.6)"</f>
        <v>F800-20-0394-(AR 1.6)</v>
      </c>
      <c r="E446" s="3" t="str">
        <f>"I love dad : with the very hungry caterpillar"</f>
        <v>I love dad : with the very hungry caterpillar</v>
      </c>
      <c r="F446" s="3" t="str">
        <f>"Eric Carle"</f>
        <v>Eric Carle</v>
      </c>
      <c r="G446" s="3" t="str">
        <f>"Grosset &amp; Dunlap"</f>
        <v>Grosset &amp; Dunlap</v>
      </c>
      <c r="H446" s="2" t="str">
        <f>"2018"</f>
        <v>2018</v>
      </c>
      <c r="I446" s="3" t="str">
        <f>""</f>
        <v/>
      </c>
    </row>
    <row r="447" spans="1:9" x14ac:dyDescent="0.3">
      <c r="A447" s="2">
        <v>446</v>
      </c>
      <c r="B447" s="4" t="s">
        <v>17</v>
      </c>
      <c r="C447" s="3" t="str">
        <f>"TFC000002824"</f>
        <v>TFC000002824</v>
      </c>
      <c r="D447" s="3" t="str">
        <f>"F400-20-0349-(AR 1.6)"</f>
        <v>F400-20-0349-(AR 1.6)</v>
      </c>
      <c r="E447" s="3" t="str">
        <f>"From acorn to oak tree"</f>
        <v>From acorn to oak tree</v>
      </c>
      <c r="F447" s="3" t="str">
        <f>"by Jan Kottke"</f>
        <v>by Jan Kottke</v>
      </c>
      <c r="G447" s="3" t="str">
        <f>"Scholastic"</f>
        <v>Scholastic</v>
      </c>
      <c r="H447" s="2" t="str">
        <f>"2001"</f>
        <v>2001</v>
      </c>
      <c r="I447" s="3" t="str">
        <f>""</f>
        <v/>
      </c>
    </row>
    <row r="448" spans="1:9" x14ac:dyDescent="0.3">
      <c r="A448" s="2">
        <v>447</v>
      </c>
      <c r="B448" s="4" t="s">
        <v>17</v>
      </c>
      <c r="C448" s="3" t="str">
        <f>"TFC000002825"</f>
        <v>TFC000002825</v>
      </c>
      <c r="D448" s="3" t="str">
        <f>"F800-20-0392-(AR 1.6)"</f>
        <v>F800-20-0392-(AR 1.6)</v>
      </c>
      <c r="E448" s="3" t="str">
        <f>"Why can't fly"</f>
        <v>Why can't fly</v>
      </c>
      <c r="F448" s="3" t="str">
        <f>"by Rita Golden Gelman ; pictures by Jack Kent"</f>
        <v>by Rita Golden Gelman ; pictures by Jack Kent</v>
      </c>
      <c r="G448" s="3" t="str">
        <f>"Scholastic"</f>
        <v>Scholastic</v>
      </c>
      <c r="H448" s="2" t="str">
        <f>"1976"</f>
        <v>1976</v>
      </c>
      <c r="I448" s="3" t="str">
        <f>""</f>
        <v/>
      </c>
    </row>
    <row r="449" spans="1:9" x14ac:dyDescent="0.3">
      <c r="A449" s="2">
        <v>448</v>
      </c>
      <c r="B449" s="4" t="s">
        <v>17</v>
      </c>
      <c r="C449" s="3" t="str">
        <f>"TFC000002934"</f>
        <v>TFC000002934</v>
      </c>
      <c r="D449" s="3" t="str">
        <f>"F800-20-0393-(AR 1.6)"</f>
        <v>F800-20-0393-(AR 1.6)</v>
      </c>
      <c r="E449" s="3" t="str">
        <f>"It's not fair"</f>
        <v>It's not fair</v>
      </c>
      <c r="F449" s="3" t="str">
        <f>"written by Roderick Hunt ; illustrated by Alex Brychta"</f>
        <v>written by Roderick Hunt ; illustrated by Alex Brychta</v>
      </c>
      <c r="G449" s="3" t="str">
        <f>"Oxford University Press"</f>
        <v>Oxford University Press</v>
      </c>
      <c r="H449" s="2" t="str">
        <f>"2011"</f>
        <v>2011</v>
      </c>
      <c r="I449" s="3" t="str">
        <f>""</f>
        <v/>
      </c>
    </row>
    <row r="450" spans="1:9" x14ac:dyDescent="0.3">
      <c r="A450" s="2">
        <v>449</v>
      </c>
      <c r="B450" s="4" t="s">
        <v>17</v>
      </c>
      <c r="C450" s="3" t="str">
        <f>"TFC000003248"</f>
        <v>TFC000003248</v>
      </c>
      <c r="D450" s="3" t="str">
        <f>"F800-21-0067-(AR 1.6)"</f>
        <v>F800-21-0067-(AR 1.6)</v>
      </c>
      <c r="E450" s="3" t="str">
        <f>"Market day : a story told with folk art"</f>
        <v>Market day : a story told with folk art</v>
      </c>
      <c r="F450" s="3" t="str">
        <f>"written and designed by Lois Ehlert"</f>
        <v>written and designed by Lois Ehlert</v>
      </c>
      <c r="G450" s="3" t="str">
        <f>"Harcourt"</f>
        <v>Harcourt</v>
      </c>
      <c r="H450" s="2" t="str">
        <f>"2002"</f>
        <v>2002</v>
      </c>
      <c r="I450" s="3" t="str">
        <f>""</f>
        <v/>
      </c>
    </row>
    <row r="451" spans="1:9" x14ac:dyDescent="0.3">
      <c r="A451" s="2">
        <v>450</v>
      </c>
      <c r="B451" s="4" t="s">
        <v>17</v>
      </c>
      <c r="C451" s="3" t="str">
        <f>"TFC000003251"</f>
        <v>TFC000003251</v>
      </c>
      <c r="D451" s="3" t="str">
        <f>"F800-21-0068-(AR 1.6)"</f>
        <v>F800-21-0068-(AR 1.6)</v>
      </c>
      <c r="E451" s="3" t="str">
        <f>"Just me and my puppy"</f>
        <v>Just me and my puppy</v>
      </c>
      <c r="F451" s="3" t="str">
        <f>"by Mercer Mayer"</f>
        <v>by Mercer Mayer</v>
      </c>
      <c r="G451" s="3" t="str">
        <f>"Random House"</f>
        <v>Random House</v>
      </c>
      <c r="H451" s="2" t="str">
        <f>"2006"</f>
        <v>2006</v>
      </c>
      <c r="I451" s="3" t="str">
        <f>""</f>
        <v/>
      </c>
    </row>
    <row r="452" spans="1:9" x14ac:dyDescent="0.3">
      <c r="A452" s="2">
        <v>451</v>
      </c>
      <c r="B452" s="4" t="s">
        <v>17</v>
      </c>
      <c r="C452" s="3" t="str">
        <f>"TFC000003285"</f>
        <v>TFC000003285</v>
      </c>
      <c r="D452" s="3" t="str">
        <f>"F800-21-0069-(AR 1.6)"</f>
        <v>F800-21-0069-(AR 1.6)</v>
      </c>
      <c r="E452" s="3" t="str">
        <f>"This is not my hat"</f>
        <v>This is not my hat</v>
      </c>
      <c r="F452" s="3" t="str">
        <f>"by Jon Klassen"</f>
        <v>by Jon Klassen</v>
      </c>
      <c r="G452" s="3" t="str">
        <f>"Candlewick Press"</f>
        <v>Candlewick Press</v>
      </c>
      <c r="H452" s="2" t="str">
        <f>"2012"</f>
        <v>2012</v>
      </c>
      <c r="I452" s="3" t="str">
        <f>""</f>
        <v/>
      </c>
    </row>
    <row r="453" spans="1:9" x14ac:dyDescent="0.3">
      <c r="A453" s="2">
        <v>452</v>
      </c>
      <c r="B453" s="4" t="s">
        <v>17</v>
      </c>
      <c r="C453" s="3" t="str">
        <f>"TFC000003955"</f>
        <v>TFC000003955</v>
      </c>
      <c r="D453" s="3" t="str">
        <f>"F800-21-0073-(AR 1.6)"</f>
        <v>F800-21-0073-(AR 1.6)</v>
      </c>
      <c r="E453" s="3" t="str">
        <f>"I don't want to be a frog"</f>
        <v>I don't want to be a frog</v>
      </c>
      <c r="F453" s="3" t="str">
        <f>"written by Dev Petty, illustrated by Mike Boldt"</f>
        <v>written by Dev Petty, illustrated by Mike Boldt</v>
      </c>
      <c r="G453" s="3" t="str">
        <f>"Doubleday Books For Young Readers"</f>
        <v>Doubleday Books For Young Readers</v>
      </c>
      <c r="H453" s="2" t="str">
        <f>"2015"</f>
        <v>2015</v>
      </c>
      <c r="I453" s="3" t="str">
        <f>""</f>
        <v/>
      </c>
    </row>
    <row r="454" spans="1:9" x14ac:dyDescent="0.3">
      <c r="A454" s="2">
        <v>453</v>
      </c>
      <c r="B454" s="4" t="s">
        <v>17</v>
      </c>
      <c r="C454" s="3" t="str">
        <f>"TFC000004308"</f>
        <v>TFC000004308</v>
      </c>
      <c r="D454" s="3" t="str">
        <f>"F800-22-0110-(AR 1.6)"</f>
        <v>F800-22-0110-(AR 1.6)</v>
      </c>
      <c r="E454" s="3" t="str">
        <f>"Moonbear's Skyfire"</f>
        <v>Moonbear's Skyfire</v>
      </c>
      <c r="F454" s="3" t="str">
        <f>"Frank Asch"</f>
        <v>Frank Asch</v>
      </c>
      <c r="G454" s="3" t="str">
        <f>"Aladdin"</f>
        <v>Aladdin</v>
      </c>
      <c r="H454" s="2" t="str">
        <f>"2014"</f>
        <v>2014</v>
      </c>
      <c r="I454" s="3" t="str">
        <f>""</f>
        <v/>
      </c>
    </row>
    <row r="455" spans="1:9" x14ac:dyDescent="0.3">
      <c r="A455" s="2">
        <v>454</v>
      </c>
      <c r="B455" s="4" t="s">
        <v>17</v>
      </c>
      <c r="C455" s="3" t="str">
        <f>"TFC000004645"</f>
        <v>TFC000004645</v>
      </c>
      <c r="D455" s="3" t="str">
        <f>"F800-22-0454-(AR1.6)"</f>
        <v>F800-22-0454-(AR1.6)</v>
      </c>
      <c r="E455" s="3" t="str">
        <f>"First day of Groot!"</f>
        <v>First day of Groot!</v>
      </c>
      <c r="F455" s="3" t="str">
        <f>"written by Brendan Deneen, pictures by Cale Atkinson"</f>
        <v>written by Brendan Deneen, pictures by Cale Atkinson</v>
      </c>
      <c r="G455" s="3" t="str">
        <f>"Marvel Press"</f>
        <v>Marvel Press</v>
      </c>
      <c r="H455" s="2" t="str">
        <f>"2019"</f>
        <v>2019</v>
      </c>
      <c r="I455" s="3" t="str">
        <f>""</f>
        <v/>
      </c>
    </row>
    <row r="456" spans="1:9" x14ac:dyDescent="0.3">
      <c r="A456" s="2">
        <v>455</v>
      </c>
      <c r="B456" s="4" t="s">
        <v>17</v>
      </c>
      <c r="C456" s="3" t="str">
        <f>"TFC000004921"</f>
        <v>TFC000004921</v>
      </c>
      <c r="D456" s="3" t="str">
        <f>"F800-23-0025-(AR1.6)"</f>
        <v>F800-23-0025-(AR1.6)</v>
      </c>
      <c r="E456" s="3" t="str">
        <f>"How to grow a dinosaur"</f>
        <v>How to grow a dinosaur</v>
      </c>
      <c r="F456" s="3" t="str">
        <f>"written by Jill Esbaum, illustrated by Mike Boldt"</f>
        <v>written by Jill Esbaum, illustrated by Mike Boldt</v>
      </c>
      <c r="G456" s="3" t="str">
        <f>"Dial Books for Young Readers"</f>
        <v>Dial Books for Young Readers</v>
      </c>
      <c r="H456" s="2" t="str">
        <f>"2018"</f>
        <v>2018</v>
      </c>
      <c r="I456" s="3" t="str">
        <f>""</f>
        <v/>
      </c>
    </row>
    <row r="457" spans="1:9" x14ac:dyDescent="0.3">
      <c r="A457" s="2">
        <v>456</v>
      </c>
      <c r="B457" s="4" t="s">
        <v>17</v>
      </c>
      <c r="C457" s="3" t="str">
        <f>"TFC000004422"</f>
        <v>TFC000004422</v>
      </c>
      <c r="D457" s="3" t="str">
        <f>"F800-22-0231-(AR1.6)"</f>
        <v>F800-22-0231-(AR1.6)</v>
      </c>
      <c r="E457" s="3" t="str">
        <f>"Can I Have a Turn? : An Acorn Book"</f>
        <v>Can I Have a Turn? : An Acorn Book</v>
      </c>
      <c r="F457" s="3" t="str">
        <f>"by Norm Feuti"</f>
        <v>by Norm Feuti</v>
      </c>
      <c r="G457" s="3" t="str">
        <f>"Scholastic Inc"</f>
        <v>Scholastic Inc</v>
      </c>
      <c r="H457" s="2" t="str">
        <f>"2022"</f>
        <v>2022</v>
      </c>
      <c r="I457" s="3" t="str">
        <f>""</f>
        <v/>
      </c>
    </row>
    <row r="458" spans="1:9" x14ac:dyDescent="0.3">
      <c r="A458" s="2">
        <v>457</v>
      </c>
      <c r="B458" s="4" t="s">
        <v>17</v>
      </c>
      <c r="C458" s="3" t="str">
        <f>"TFC000004423"</f>
        <v>TFC000004423</v>
      </c>
      <c r="D458" s="3" t="str">
        <f>"F800-22-0232-(AR1.6)"</f>
        <v>F800-22-0232-(AR1.6)</v>
      </c>
      <c r="E458" s="3" t="str">
        <f>"You don't want a dragon!"</f>
        <v>You don't want a dragon!</v>
      </c>
      <c r="F458" s="3" t="str">
        <f>"written by Ame Dyckman, illustrated by Liz Climo."</f>
        <v>written by Ame Dyckman, illustrated by Liz Climo.</v>
      </c>
      <c r="G458" s="3" t="str">
        <f>"Little Brown and Company"</f>
        <v>Little Brown and Company</v>
      </c>
      <c r="H458" s="2" t="str">
        <f>"2020"</f>
        <v>2020</v>
      </c>
      <c r="I458" s="3" t="str">
        <f>""</f>
        <v/>
      </c>
    </row>
    <row r="459" spans="1:9" x14ac:dyDescent="0.3">
      <c r="A459" s="2">
        <v>458</v>
      </c>
      <c r="B459" s="4">
        <v>1.6</v>
      </c>
      <c r="C459" s="3" t="str">
        <f>"TFC000003954"</f>
        <v>TFC000003954</v>
      </c>
      <c r="D459" s="3" t="str">
        <f>"F800-21-0072-3(AR 1.6)"</f>
        <v>F800-21-0072-3(AR 1.6)</v>
      </c>
      <c r="E459" s="3" t="str">
        <f>"Fox tails. 03, The giant ice cream mess"</f>
        <v>Fox tails. 03, The giant ice cream mess</v>
      </c>
      <c r="F459" s="3" t="str">
        <f>"by Tina Kugler"</f>
        <v>by Tina Kugler</v>
      </c>
      <c r="G459" s="3" t="str">
        <f>"Scholastic"</f>
        <v>Scholastic</v>
      </c>
      <c r="H459" s="2" t="str">
        <f>"2021"</f>
        <v>2021</v>
      </c>
      <c r="I459" s="3" t="str">
        <f>""</f>
        <v/>
      </c>
    </row>
    <row r="460" spans="1:9" x14ac:dyDescent="0.3">
      <c r="A460" s="2">
        <v>459</v>
      </c>
      <c r="B460" s="4" t="s">
        <v>18</v>
      </c>
      <c r="C460" s="3" t="str">
        <f>"TFC000000394"</f>
        <v>TFC000000394</v>
      </c>
      <c r="D460" s="3" t="str">
        <f>"F800-20-0423-(AR 1.7)"</f>
        <v>F800-20-0423-(AR 1.7)</v>
      </c>
      <c r="E460" s="3" t="str">
        <f>"Tough Boris"</f>
        <v>Tough Boris</v>
      </c>
      <c r="F460" s="3" t="str">
        <f>"by Mem Fox ; illustrated by Kathryn Brown"</f>
        <v>by Mem Fox ; illustrated by Kathryn Brown</v>
      </c>
      <c r="G460" s="3" t="str">
        <f>"Voyager Books:JYbooks"</f>
        <v>Voyager Books:JYbooks</v>
      </c>
      <c r="H460" s="2" t="str">
        <f>"1998"</f>
        <v>1998</v>
      </c>
      <c r="I460" s="2" t="s">
        <v>2</v>
      </c>
    </row>
    <row r="461" spans="1:9" x14ac:dyDescent="0.3">
      <c r="A461" s="2">
        <v>460</v>
      </c>
      <c r="B461" s="4" t="s">
        <v>18</v>
      </c>
      <c r="C461" s="3" t="str">
        <f>"TFC000004314"</f>
        <v>TFC000004314</v>
      </c>
      <c r="D461" s="3" t="str">
        <f>"F800-20-0040-(AR 1.7)"</f>
        <v>F800-20-0040-(AR 1.7)</v>
      </c>
      <c r="E461" s="3" t="str">
        <f>"Just because"</f>
        <v>Just because</v>
      </c>
      <c r="F461" s="3" t="str">
        <f>"by Mac Barnett, illustrated by Isabelle Arsenault"</f>
        <v>by Mac Barnett, illustrated by Isabelle Arsenault</v>
      </c>
      <c r="G461" s="3" t="str">
        <f>"Two Ponds"</f>
        <v>Two Ponds</v>
      </c>
      <c r="H461" s="2" t="str">
        <f>"2021"</f>
        <v>2021</v>
      </c>
      <c r="I461" s="2" t="s">
        <v>2</v>
      </c>
    </row>
    <row r="462" spans="1:9" x14ac:dyDescent="0.3">
      <c r="A462" s="2">
        <v>461</v>
      </c>
      <c r="B462" s="4" t="s">
        <v>18</v>
      </c>
      <c r="C462" s="3" t="str">
        <f>"TFC000004028"</f>
        <v>TFC000004028</v>
      </c>
      <c r="D462" s="3" t="str">
        <f>"F800-21-0082-(AR 1.7)"</f>
        <v>F800-21-0082-(AR 1.7)</v>
      </c>
      <c r="E462" s="3" t="str">
        <f>"Jack gets zapped!"</f>
        <v>Jack gets zapped!</v>
      </c>
      <c r="F462" s="3" t="str">
        <f>"by Mac Barnett, illustrated by Greg Pizzoli"</f>
        <v>by Mac Barnett, illustrated by Greg Pizzoli</v>
      </c>
      <c r="G462" s="3" t="str">
        <f>"Viking"</f>
        <v>Viking</v>
      </c>
      <c r="H462" s="2" t="str">
        <f>"2021"</f>
        <v>2021</v>
      </c>
      <c r="I462" s="2" t="s">
        <v>2</v>
      </c>
    </row>
    <row r="463" spans="1:9" x14ac:dyDescent="0.3">
      <c r="A463" s="2">
        <v>462</v>
      </c>
      <c r="B463" s="4" t="s">
        <v>18</v>
      </c>
      <c r="C463" s="3" t="str">
        <f>"TFC000000367"</f>
        <v>TFC000000367</v>
      </c>
      <c r="D463" s="3" t="str">
        <f>"F400-20-0396-(AR 1.7)"</f>
        <v>F400-20-0396-(AR 1.7)</v>
      </c>
      <c r="E463" s="3" t="str">
        <f>"All about light"</f>
        <v>All about light</v>
      </c>
      <c r="F463" s="3" t="str">
        <f>"by Lisa Trumbauer"</f>
        <v>by Lisa Trumbauer</v>
      </c>
      <c r="G463" s="3" t="str">
        <f>"Children's Press"</f>
        <v>Children's Press</v>
      </c>
      <c r="H463" s="2" t="str">
        <f>"2004"</f>
        <v>2004</v>
      </c>
      <c r="I463" s="3" t="str">
        <f>""</f>
        <v/>
      </c>
    </row>
    <row r="464" spans="1:9" x14ac:dyDescent="0.3">
      <c r="A464" s="2">
        <v>463</v>
      </c>
      <c r="B464" s="4" t="s">
        <v>18</v>
      </c>
      <c r="C464" s="3" t="str">
        <f>"TFC000000369"</f>
        <v>TFC000000369</v>
      </c>
      <c r="D464" s="3" t="str">
        <f>"F800-20-0398-(AR 1.7)"</f>
        <v>F800-20-0398-(AR 1.7)</v>
      </c>
      <c r="E464" s="3" t="str">
        <f>"(The)big honey hunt"</f>
        <v>(The)big honey hunt</v>
      </c>
      <c r="F464" s="3" t="str">
        <f>"Stan Berenstain, Jan Berenstain"</f>
        <v>Stan Berenstain, Jan Berenstain</v>
      </c>
      <c r="G464" s="3" t="str">
        <f>"Random House"</f>
        <v>Random House</v>
      </c>
      <c r="H464" s="2" t="str">
        <f>"2002"</f>
        <v>2002</v>
      </c>
      <c r="I464" s="3" t="str">
        <f>""</f>
        <v/>
      </c>
    </row>
    <row r="465" spans="1:9" x14ac:dyDescent="0.3">
      <c r="A465" s="2">
        <v>464</v>
      </c>
      <c r="B465" s="4" t="s">
        <v>18</v>
      </c>
      <c r="C465" s="3" t="str">
        <f>"TFC000000371"</f>
        <v>TFC000000371</v>
      </c>
      <c r="D465" s="3" t="str">
        <f>"F800-20-0400-(AR 1.7)"</f>
        <v>F800-20-0400-(AR 1.7)</v>
      </c>
      <c r="E465" s="3" t="str">
        <f>"My brother, Ant"</f>
        <v>My brother, Ant</v>
      </c>
      <c r="F465" s="3" t="str">
        <f>"by Betsy Byars ; illustrations by Marc Simont"</f>
        <v>by Betsy Byars ; illustrations by Marc Simont</v>
      </c>
      <c r="G465" s="3" t="str">
        <f>"Puffin books"</f>
        <v>Puffin books</v>
      </c>
      <c r="H465" s="2" t="str">
        <f>"1996"</f>
        <v>1996</v>
      </c>
      <c r="I465" s="3" t="str">
        <f>""</f>
        <v/>
      </c>
    </row>
    <row r="466" spans="1:9" x14ac:dyDescent="0.3">
      <c r="A466" s="2">
        <v>465</v>
      </c>
      <c r="B466" s="4" t="s">
        <v>18</v>
      </c>
      <c r="C466" s="3" t="str">
        <f>"TFC000000372"</f>
        <v>TFC000000372</v>
      </c>
      <c r="D466" s="3" t="str">
        <f>"F800-20-0401-(AR 1.7)"</f>
        <v>F800-20-0401-(AR 1.7)</v>
      </c>
      <c r="E466" s="3" t="str">
        <f>"(The)letters are lost!"</f>
        <v>(The)letters are lost!</v>
      </c>
      <c r="F466" s="3" t="str">
        <f>"Lisa Campbell Ernst"</f>
        <v>Lisa Campbell Ernst</v>
      </c>
      <c r="G466" s="3" t="str">
        <f>"Puffin Books"</f>
        <v>Puffin Books</v>
      </c>
      <c r="H466" s="2" t="str">
        <f>"1999"</f>
        <v>1999</v>
      </c>
      <c r="I466" s="3" t="str">
        <f>""</f>
        <v/>
      </c>
    </row>
    <row r="467" spans="1:9" x14ac:dyDescent="0.3">
      <c r="A467" s="2">
        <v>466</v>
      </c>
      <c r="B467" s="4" t="s">
        <v>18</v>
      </c>
      <c r="C467" s="3" t="str">
        <f>"TFC000000373"</f>
        <v>TFC000000373</v>
      </c>
      <c r="D467" s="3" t="str">
        <f>"F800-20-0402-(AR 1.7)"</f>
        <v>F800-20-0402-(AR 1.7)</v>
      </c>
      <c r="E467" s="3" t="str">
        <f>"Ten red apples"</f>
        <v>Ten red apples</v>
      </c>
      <c r="F467" s="3" t="str">
        <f>"Pat Hutchins"</f>
        <v>Pat Hutchins</v>
      </c>
      <c r="G467" s="3" t="str">
        <f>"Greenwillow Books"</f>
        <v>Greenwillow Books</v>
      </c>
      <c r="H467" s="2" t="str">
        <f>"2000"</f>
        <v>2000</v>
      </c>
      <c r="I467" s="3" t="str">
        <f>""</f>
        <v/>
      </c>
    </row>
    <row r="468" spans="1:9" x14ac:dyDescent="0.3">
      <c r="A468" s="2">
        <v>467</v>
      </c>
      <c r="B468" s="4" t="s">
        <v>18</v>
      </c>
      <c r="C468" s="3" t="str">
        <f>"TFC000000374"</f>
        <v>TFC000000374</v>
      </c>
      <c r="D468" s="3" t="str">
        <f>"F800-20-0403-(AR 1.7)"</f>
        <v>F800-20-0403-(AR 1.7)</v>
      </c>
      <c r="E468" s="3" t="str">
        <f>"Kick, pass, and run"</f>
        <v>Kick, pass, and run</v>
      </c>
      <c r="F468" s="3" t="str">
        <f>"story and pictures by Leonard Kessler"</f>
        <v>story and pictures by Leonard Kessler</v>
      </c>
      <c r="G468" s="3" t="str">
        <f>"HarperCollins Publishers"</f>
        <v>HarperCollins Publishers</v>
      </c>
      <c r="H468" s="2" t="str">
        <f>"1996"</f>
        <v>1996</v>
      </c>
      <c r="I468" s="3" t="str">
        <f>""</f>
        <v/>
      </c>
    </row>
    <row r="469" spans="1:9" x14ac:dyDescent="0.3">
      <c r="A469" s="2">
        <v>468</v>
      </c>
      <c r="B469" s="4" t="s">
        <v>18</v>
      </c>
      <c r="C469" s="3" t="str">
        <f>"TFC000000375"</f>
        <v>TFC000000375</v>
      </c>
      <c r="D469" s="3" t="str">
        <f>"F800-20-0404-(AR 1.7)"</f>
        <v>F800-20-0404-(AR 1.7)</v>
      </c>
      <c r="E469" s="3" t="str">
        <f>"No more monsters for me!"</f>
        <v>No more monsters for me!</v>
      </c>
      <c r="F469" s="3" t="str">
        <f>"by Peggy Parish ; pictures by Marc Simont"</f>
        <v>by Peggy Parish ; pictures by Marc Simont</v>
      </c>
      <c r="G469" s="3" t="str">
        <f>"HarperTrophy:Moonjin Media"</f>
        <v>HarperTrophy:Moonjin Media</v>
      </c>
      <c r="H469" s="2" t="str">
        <f>"1981"</f>
        <v>1981</v>
      </c>
      <c r="I469" s="3" t="str">
        <f>""</f>
        <v/>
      </c>
    </row>
    <row r="470" spans="1:9" x14ac:dyDescent="0.3">
      <c r="A470" s="2">
        <v>469</v>
      </c>
      <c r="B470" s="4" t="s">
        <v>18</v>
      </c>
      <c r="C470" s="3" t="str">
        <f>"TFC000000376"</f>
        <v>TFC000000376</v>
      </c>
      <c r="D470" s="3" t="str">
        <f>"F800-20-0405-(AR 1.7)"</f>
        <v>F800-20-0405-(AR 1.7)</v>
      </c>
      <c r="E470" s="3" t="str">
        <f>"(The tale of a)fierce bad rabbit"</f>
        <v>(The tale of a)fierce bad rabbit</v>
      </c>
      <c r="F470" s="3" t="str">
        <f>"by Beatrix Potter"</f>
        <v>by Beatrix Potter</v>
      </c>
      <c r="G470" s="3" t="str">
        <f>"Frederick Warne"</f>
        <v>Frederick Warne</v>
      </c>
      <c r="H470" s="2" t="str">
        <f>"2002"</f>
        <v>2002</v>
      </c>
      <c r="I470" s="3" t="str">
        <f>""</f>
        <v/>
      </c>
    </row>
    <row r="471" spans="1:9" x14ac:dyDescent="0.3">
      <c r="A471" s="2">
        <v>470</v>
      </c>
      <c r="B471" s="4" t="s">
        <v>18</v>
      </c>
      <c r="C471" s="3" t="str">
        <f>"TFC000000377"</f>
        <v>TFC000000377</v>
      </c>
      <c r="D471" s="3" t="str">
        <f>"F800-20-0406-(AR 1.7)"</f>
        <v>F800-20-0406-(AR 1.7)</v>
      </c>
      <c r="E471" s="3" t="str">
        <f>"(The)shape of me and other stuff"</f>
        <v>(The)shape of me and other stuff</v>
      </c>
      <c r="F471" s="3" t="str">
        <f>"by Dr. Seuss"</f>
        <v>by Dr. Seuss</v>
      </c>
      <c r="G471" s="3" t="str">
        <f>"Random House"</f>
        <v>Random House</v>
      </c>
      <c r="H471" s="2" t="str">
        <f>"2001"</f>
        <v>2001</v>
      </c>
      <c r="I471" s="3" t="str">
        <f>""</f>
        <v/>
      </c>
    </row>
    <row r="472" spans="1:9" x14ac:dyDescent="0.3">
      <c r="A472" s="2">
        <v>471</v>
      </c>
      <c r="B472" s="4" t="s">
        <v>18</v>
      </c>
      <c r="C472" s="3" t="str">
        <f>"TFC000000378"</f>
        <v>TFC000000378</v>
      </c>
      <c r="D472" s="3" t="str">
        <f>"F800-20-0407-(AR 1.7)"</f>
        <v>F800-20-0407-(AR 1.7)</v>
      </c>
      <c r="E472" s="3" t="str">
        <f>"Joseph had a little overcoat"</f>
        <v>Joseph had a little overcoat</v>
      </c>
      <c r="F472" s="3" t="str">
        <f>"by Simms Taback"</f>
        <v>by Simms Taback</v>
      </c>
      <c r="G472" s="3" t="str">
        <f>"Viking"</f>
        <v>Viking</v>
      </c>
      <c r="H472" s="2" t="str">
        <f>"1999"</f>
        <v>1999</v>
      </c>
      <c r="I472" s="3" t="str">
        <f>""</f>
        <v/>
      </c>
    </row>
    <row r="473" spans="1:9" x14ac:dyDescent="0.3">
      <c r="A473" s="2">
        <v>472</v>
      </c>
      <c r="B473" s="4" t="s">
        <v>18</v>
      </c>
      <c r="C473" s="3" t="str">
        <f>"TFC000000379"</f>
        <v>TFC000000379</v>
      </c>
      <c r="D473" s="3" t="str">
        <f>"F800-20-0408-(AR 1.7)"</f>
        <v>F800-20-0408-(AR 1.7)</v>
      </c>
      <c r="E473" s="3" t="str">
        <f>"Morris and Boris at the circus"</f>
        <v>Morris and Boris at the circus</v>
      </c>
      <c r="F473" s="3" t="str">
        <f>"by B. Wiseman"</f>
        <v>by B. Wiseman</v>
      </c>
      <c r="G473" s="3" t="str">
        <f>"HarperCollins Publishers"</f>
        <v>HarperCollins Publishers</v>
      </c>
      <c r="H473" s="2" t="str">
        <f>"1988"</f>
        <v>1988</v>
      </c>
      <c r="I473" s="3" t="str">
        <f>""</f>
        <v/>
      </c>
    </row>
    <row r="474" spans="1:9" x14ac:dyDescent="0.3">
      <c r="A474" s="2">
        <v>473</v>
      </c>
      <c r="B474" s="4" t="s">
        <v>18</v>
      </c>
      <c r="C474" s="3" t="str">
        <f>"TFC000000380"</f>
        <v>TFC000000380</v>
      </c>
      <c r="D474" s="3" t="str">
        <f>"F800-20-0409-(AR 1.7)"</f>
        <v>F800-20-0409-(AR 1.7)</v>
      </c>
      <c r="E474" s="3" t="str">
        <f>"King Bidgood's in the bathtub"</f>
        <v>King Bidgood's in the bathtub</v>
      </c>
      <c r="F474" s="3" t="str">
        <f>"written by Audrey Wood ; illustrated by Don Wood"</f>
        <v>written by Audrey Wood ; illustrated by Don Wood</v>
      </c>
      <c r="G474" s="3" t="str">
        <f>"Sandpiper"</f>
        <v>Sandpiper</v>
      </c>
      <c r="H474" s="2" t="str">
        <f>"1985"</f>
        <v>1985</v>
      </c>
      <c r="I474" s="3" t="str">
        <f>""</f>
        <v/>
      </c>
    </row>
    <row r="475" spans="1:9" x14ac:dyDescent="0.3">
      <c r="A475" s="2">
        <v>474</v>
      </c>
      <c r="B475" s="4" t="s">
        <v>18</v>
      </c>
      <c r="C475" s="3" t="str">
        <f>"TFC000000381"</f>
        <v>TFC000000381</v>
      </c>
      <c r="D475" s="3" t="str">
        <f>"F800-20-0410-(AR 1.7)"</f>
        <v>F800-20-0410-(AR 1.7)</v>
      </c>
      <c r="E475" s="3" t="str">
        <f>"Quick as a cricket"</f>
        <v>Quick as a cricket</v>
      </c>
      <c r="F475" s="3" t="str">
        <f>"by Audrey Wood ; illustrated by Don Wood"</f>
        <v>by Audrey Wood ; illustrated by Don Wood</v>
      </c>
      <c r="G475" s="3" t="str">
        <f>"Child's play"</f>
        <v>Child's play</v>
      </c>
      <c r="H475" s="2" t="str">
        <f>"2019"</f>
        <v>2019</v>
      </c>
      <c r="I475" s="3" t="str">
        <f>""</f>
        <v/>
      </c>
    </row>
    <row r="476" spans="1:9" x14ac:dyDescent="0.3">
      <c r="A476" s="2">
        <v>475</v>
      </c>
      <c r="B476" s="4" t="s">
        <v>18</v>
      </c>
      <c r="C476" s="3" t="str">
        <f>"TFC000000383"</f>
        <v>TFC000000383</v>
      </c>
      <c r="D476" s="3" t="str">
        <f>"F800-20-0412-(AR 1.7)"</f>
        <v>F800-20-0412-(AR 1.7)</v>
      </c>
      <c r="E476" s="3" t="str">
        <f>"Fly Guy's amazing tricks"</f>
        <v>Fly Guy's amazing tricks</v>
      </c>
      <c r="F476" s="3" t="str">
        <f>"Tedd Arnold"</f>
        <v>Tedd Arnold</v>
      </c>
      <c r="G476" s="3" t="str">
        <f>"Cartwheel Books"</f>
        <v>Cartwheel Books</v>
      </c>
      <c r="H476" s="2" t="str">
        <f>"2014"</f>
        <v>2014</v>
      </c>
      <c r="I476" s="3" t="str">
        <f>""</f>
        <v/>
      </c>
    </row>
    <row r="477" spans="1:9" x14ac:dyDescent="0.3">
      <c r="A477" s="2">
        <v>476</v>
      </c>
      <c r="B477" s="4" t="s">
        <v>18</v>
      </c>
      <c r="C477" s="3" t="str">
        <f>"TFC000000384"</f>
        <v>TFC000000384</v>
      </c>
      <c r="D477" s="3" t="str">
        <f>"F800-20-0413-(AR 1.7)"</f>
        <v>F800-20-0413-(AR 1.7)</v>
      </c>
      <c r="E477" s="3" t="str">
        <f>"Shoo fly guy!"</f>
        <v>Shoo fly guy!</v>
      </c>
      <c r="F477" s="3" t="str">
        <f>"by Tedd Arnold"</f>
        <v>by Tedd Arnold</v>
      </c>
      <c r="G477" s="3" t="str">
        <f>"Cartwheel Books:Scholastic"</f>
        <v>Cartwheel Books:Scholastic</v>
      </c>
      <c r="H477" s="2" t="str">
        <f>"2006"</f>
        <v>2006</v>
      </c>
      <c r="I477" s="3" t="str">
        <f>""</f>
        <v/>
      </c>
    </row>
    <row r="478" spans="1:9" x14ac:dyDescent="0.3">
      <c r="A478" s="2">
        <v>477</v>
      </c>
      <c r="B478" s="4" t="s">
        <v>18</v>
      </c>
      <c r="C478" s="3" t="str">
        <f>"TFC000000385"</f>
        <v>TFC000000385</v>
      </c>
      <c r="D478" s="3" t="str">
        <f>"F800-20-0414-(AR 1.7)"</f>
        <v>F800-20-0414-(AR 1.7)</v>
      </c>
      <c r="E478" s="3" t="str">
        <f>"Super fly guy"</f>
        <v>Super fly guy</v>
      </c>
      <c r="F478" s="3" t="str">
        <f>"by Tedd Arnold"</f>
        <v>by Tedd Arnold</v>
      </c>
      <c r="G478" s="3" t="str">
        <f>"Cartwheel Books:Scholastic"</f>
        <v>Cartwheel Books:Scholastic</v>
      </c>
      <c r="H478" s="2" t="str">
        <f>"2006"</f>
        <v>2006</v>
      </c>
      <c r="I478" s="3" t="str">
        <f>""</f>
        <v/>
      </c>
    </row>
    <row r="479" spans="1:9" x14ac:dyDescent="0.3">
      <c r="A479" s="2">
        <v>478</v>
      </c>
      <c r="B479" s="4" t="s">
        <v>18</v>
      </c>
      <c r="C479" s="3" t="str">
        <f>"TFC000000387"</f>
        <v>TFC000000387</v>
      </c>
      <c r="D479" s="3" t="str">
        <f>"F800-20-0416-(AR 1.7)"</f>
        <v>F800-20-0416-(AR 1.7)</v>
      </c>
      <c r="E479" s="3" t="str">
        <f>"I'm worried"</f>
        <v>I'm worried</v>
      </c>
      <c r="F479" s="3" t="str">
        <f>"by Michael Ian Black ; illustrated by Debbie Ridpath Ohi"</f>
        <v>by Michael Ian Black ; illustrated by Debbie Ridpath Ohi</v>
      </c>
      <c r="G479" s="3" t="str">
        <f>"Simon &amp; Schuster Books for Young Readers"</f>
        <v>Simon &amp; Schuster Books for Young Readers</v>
      </c>
      <c r="H479" s="2" t="str">
        <f>"2019"</f>
        <v>2019</v>
      </c>
      <c r="I479" s="3" t="str">
        <f>""</f>
        <v/>
      </c>
    </row>
    <row r="480" spans="1:9" x14ac:dyDescent="0.3">
      <c r="A480" s="2">
        <v>479</v>
      </c>
      <c r="B480" s="4" t="s">
        <v>18</v>
      </c>
      <c r="C480" s="3" t="str">
        <f>"TFC000000388"</f>
        <v>TFC000000388</v>
      </c>
      <c r="D480" s="3" t="str">
        <f>"F800-20-0417-(AR 1.7)"</f>
        <v>F800-20-0417-(AR 1.7)</v>
      </c>
      <c r="E480" s="3" t="str">
        <f>"My teacher is a monster! : no, i am not"</f>
        <v>My teacher is a monster! : no, i am not</v>
      </c>
      <c r="F480" s="3" t="str">
        <f>"by Peter Brown"</f>
        <v>by Peter Brown</v>
      </c>
      <c r="G480" s="3" t="str">
        <f>"Little, Brown and Company"</f>
        <v>Little, Brown and Company</v>
      </c>
      <c r="H480" s="2" t="str">
        <f>"2014"</f>
        <v>2014</v>
      </c>
      <c r="I480" s="3" t="str">
        <f>""</f>
        <v/>
      </c>
    </row>
    <row r="481" spans="1:9" x14ac:dyDescent="0.3">
      <c r="A481" s="2">
        <v>480</v>
      </c>
      <c r="B481" s="4" t="s">
        <v>18</v>
      </c>
      <c r="C481" s="3" t="str">
        <f>"TFC000000389"</f>
        <v>TFC000000389</v>
      </c>
      <c r="D481" s="3" t="str">
        <f>"F800-20-0418-(AR 1.7)"</f>
        <v>F800-20-0418-(AR 1.7)</v>
      </c>
      <c r="E481" s="3" t="str">
        <f>"(The)very impatient caterpillar"</f>
        <v>(The)very impatient caterpillar</v>
      </c>
      <c r="F481" s="3" t="str">
        <f>"Ross Burach"</f>
        <v>Ross Burach</v>
      </c>
      <c r="G481" s="3" t="str">
        <f>"Scholastic Press"</f>
        <v>Scholastic Press</v>
      </c>
      <c r="H481" s="2" t="str">
        <f>"2019"</f>
        <v>2019</v>
      </c>
      <c r="I481" s="3" t="str">
        <f>""</f>
        <v/>
      </c>
    </row>
    <row r="482" spans="1:9" x14ac:dyDescent="0.3">
      <c r="A482" s="2">
        <v>481</v>
      </c>
      <c r="B482" s="4" t="s">
        <v>18</v>
      </c>
      <c r="C482" s="3" t="str">
        <f>"TFC000000390"</f>
        <v>TFC000000390</v>
      </c>
      <c r="D482" s="3" t="str">
        <f>"F800-20-0419-(AR 1.7)"</f>
        <v>F800-20-0419-(AR 1.7)</v>
      </c>
      <c r="E482" s="3" t="str">
        <f>"Five little monkeys sitting in a tree"</f>
        <v>Five little monkeys sitting in a tree</v>
      </c>
      <c r="F482" s="3" t="str">
        <f>"Eileen Christelow"</f>
        <v>Eileen Christelow</v>
      </c>
      <c r="G482" s="3" t="str">
        <f>"Clarion Books"</f>
        <v>Clarion Books</v>
      </c>
      <c r="H482" s="2" t="str">
        <f>"2004"</f>
        <v>2004</v>
      </c>
      <c r="I482" s="3" t="str">
        <f>""</f>
        <v/>
      </c>
    </row>
    <row r="483" spans="1:9" x14ac:dyDescent="0.3">
      <c r="A483" s="2">
        <v>482</v>
      </c>
      <c r="B483" s="4" t="s">
        <v>18</v>
      </c>
      <c r="C483" s="3" t="str">
        <f>"TFC000000391"</f>
        <v>TFC000000391</v>
      </c>
      <c r="D483" s="3" t="str">
        <f>"F800-20-0420-(AR 1.7)"</f>
        <v>F800-20-0420-(AR 1.7)</v>
      </c>
      <c r="E483" s="3" t="str">
        <f>"Rory the dinosaur wants a pet"</f>
        <v>Rory the dinosaur wants a pet</v>
      </c>
      <c r="F483" s="3" t="str">
        <f>"Liz Climo"</f>
        <v>Liz Climo</v>
      </c>
      <c r="G483" s="3" t="str">
        <f>"Little, Brown and Company"</f>
        <v>Little, Brown and Company</v>
      </c>
      <c r="H483" s="2" t="str">
        <f>"2016"</f>
        <v>2016</v>
      </c>
      <c r="I483" s="3" t="str">
        <f>""</f>
        <v/>
      </c>
    </row>
    <row r="484" spans="1:9" x14ac:dyDescent="0.3">
      <c r="A484" s="2">
        <v>483</v>
      </c>
      <c r="B484" s="4" t="s">
        <v>18</v>
      </c>
      <c r="C484" s="3" t="str">
        <f>"TFC000000392"</f>
        <v>TFC000000392</v>
      </c>
      <c r="D484" s="3" t="str">
        <f>"F800-20-0421-(AR 1.7)"</f>
        <v>F800-20-0421-(AR 1.7)</v>
      </c>
      <c r="E484" s="3" t="str">
        <f>"Pete the cat's trip to the supermarket"</f>
        <v>Pete the cat's trip to the supermarket</v>
      </c>
      <c r="F484" s="3" t="str">
        <f>"by Kimberly Dean, James Dean"</f>
        <v>by Kimberly Dean, James Dean</v>
      </c>
      <c r="G484" s="3" t="str">
        <f>"Harper"</f>
        <v>Harper</v>
      </c>
      <c r="H484" s="2" t="str">
        <f>"2019"</f>
        <v>2019</v>
      </c>
      <c r="I484" s="3" t="str">
        <f>""</f>
        <v/>
      </c>
    </row>
    <row r="485" spans="1:9" x14ac:dyDescent="0.3">
      <c r="A485" s="2">
        <v>484</v>
      </c>
      <c r="B485" s="4" t="s">
        <v>18</v>
      </c>
      <c r="C485" s="3" t="str">
        <f>"TFC000000393"</f>
        <v>TFC000000393</v>
      </c>
      <c r="D485" s="3" t="str">
        <f>"F800-20-0422-(AR 1.7)"</f>
        <v>F800-20-0422-(AR 1.7)</v>
      </c>
      <c r="E485" s="3" t="str">
        <f>"(The)rabbit listened"</f>
        <v>(The)rabbit listened</v>
      </c>
      <c r="F485" s="3" t="str">
        <f>"by Cori Doerrfeld"</f>
        <v>by Cori Doerrfeld</v>
      </c>
      <c r="G485" s="3" t="str">
        <f>"Dial Books For Young Readers"</f>
        <v>Dial Books For Young Readers</v>
      </c>
      <c r="H485" s="2" t="str">
        <f>"2018"</f>
        <v>2018</v>
      </c>
      <c r="I485" s="3" t="str">
        <f>""</f>
        <v/>
      </c>
    </row>
    <row r="486" spans="1:9" x14ac:dyDescent="0.3">
      <c r="A486" s="2">
        <v>485</v>
      </c>
      <c r="B486" s="4" t="s">
        <v>18</v>
      </c>
      <c r="C486" s="3" t="str">
        <f>"TFC000000395"</f>
        <v>TFC000000395</v>
      </c>
      <c r="D486" s="3" t="str">
        <f>"F800-20-0424-(AR 1.7)"</f>
        <v>F800-20-0424-(AR 1.7)</v>
      </c>
      <c r="E486" s="3" t="str">
        <f>"Snow wonder"</f>
        <v>Snow wonder</v>
      </c>
      <c r="F486" s="3" t="str">
        <f>"Charles Ghigna ; illustrated by Julia Woolf"</f>
        <v>Charles Ghigna ; illustrated by Julia Woolf</v>
      </c>
      <c r="G486" s="3" t="str">
        <f>"Random House"</f>
        <v>Random House</v>
      </c>
      <c r="H486" s="2" t="str">
        <f>"2008"</f>
        <v>2008</v>
      </c>
      <c r="I486" s="3" t="str">
        <f>""</f>
        <v/>
      </c>
    </row>
    <row r="487" spans="1:9" x14ac:dyDescent="0.3">
      <c r="A487" s="2">
        <v>486</v>
      </c>
      <c r="B487" s="4" t="s">
        <v>18</v>
      </c>
      <c r="C487" s="3" t="str">
        <f>"TFC000000396"</f>
        <v>TFC000000396</v>
      </c>
      <c r="D487" s="3" t="str">
        <f>"F800-20-0425-(AR 1.7)"</f>
        <v>F800-20-0425-(AR 1.7)</v>
      </c>
      <c r="E487" s="3" t="str">
        <f>"Dixie"</f>
        <v>Dixie</v>
      </c>
      <c r="F487" s="3" t="str">
        <f>"story by Grace Gilman ; pictures by Sarah McConnell"</f>
        <v>story by Grace Gilman ; pictures by Sarah McConnell</v>
      </c>
      <c r="G487" s="3" t="str">
        <f>"HarperTrophy:Moonjin Media"</f>
        <v>HarperTrophy:Moonjin Media</v>
      </c>
      <c r="H487" s="2" t="str">
        <f>"2011"</f>
        <v>2011</v>
      </c>
      <c r="I487" s="3" t="str">
        <f>""</f>
        <v/>
      </c>
    </row>
    <row r="488" spans="1:9" x14ac:dyDescent="0.3">
      <c r="A488" s="2">
        <v>487</v>
      </c>
      <c r="B488" s="4" t="s">
        <v>18</v>
      </c>
      <c r="C488" s="3" t="str">
        <f>"TFC000000398"</f>
        <v>TFC000000398</v>
      </c>
      <c r="D488" s="3" t="str">
        <f>"F800-20-0427-(AR 1.7)"</f>
        <v>F800-20-0427-(AR 1.7)</v>
      </c>
      <c r="E488" s="3" t="str">
        <f>"(Syd Hoff's)Danny and the dinosaur and the new puppy"</f>
        <v>(Syd Hoff's)Danny and the dinosaur and the new puppy</v>
      </c>
      <c r="F488" s="3" t="str">
        <f>"written by Bruce Hale ; illustrated in the style of Syd Hoff by David Cutting"</f>
        <v>written by Bruce Hale ; illustrated in the style of Syd Hoff by David Cutting</v>
      </c>
      <c r="G488" s="3" t="str">
        <f>"HarperCollins"</f>
        <v>HarperCollins</v>
      </c>
      <c r="H488" s="2" t="str">
        <f>"2015"</f>
        <v>2015</v>
      </c>
      <c r="I488" s="3" t="str">
        <f>""</f>
        <v/>
      </c>
    </row>
    <row r="489" spans="1:9" x14ac:dyDescent="0.3">
      <c r="A489" s="2">
        <v>488</v>
      </c>
      <c r="B489" s="4" t="s">
        <v>18</v>
      </c>
      <c r="C489" s="3" t="str">
        <f>"TFC000000399"</f>
        <v>TFC000000399</v>
      </c>
      <c r="D489" s="3" t="str">
        <f>"F800-20-0428-(AR 1.7)"</f>
        <v>F800-20-0428-(AR 1.7)</v>
      </c>
      <c r="E489" s="3" t="str">
        <f>"Whose feet?"</f>
        <v>Whose feet?</v>
      </c>
      <c r="F489" s="3" t="str">
        <f>"by Nina Hess ; illustrated by John Kanzler"</f>
        <v>by Nina Hess ; illustrated by John Kanzler</v>
      </c>
      <c r="G489" s="3" t="str">
        <f>"Random House"</f>
        <v>Random House</v>
      </c>
      <c r="H489" s="2" t="str">
        <f>"2004"</f>
        <v>2004</v>
      </c>
      <c r="I489" s="3" t="str">
        <f>""</f>
        <v/>
      </c>
    </row>
    <row r="490" spans="1:9" x14ac:dyDescent="0.3">
      <c r="A490" s="2">
        <v>489</v>
      </c>
      <c r="B490" s="4" t="s">
        <v>18</v>
      </c>
      <c r="C490" s="3" t="str">
        <f>"TFC000000400"</f>
        <v>TFC000000400</v>
      </c>
      <c r="D490" s="3" t="str">
        <f>"F800-20-0429-(AR 1.7)"</f>
        <v>F800-20-0429-(AR 1.7)</v>
      </c>
      <c r="E490" s="3" t="str">
        <f>"Noah's ark adventure"</f>
        <v>Noah's ark adventure</v>
      </c>
      <c r="F490" s="3" t="str">
        <f>"written by Roderick Hunt ; illustrated by Alex Brychta"</f>
        <v>written by Roderick Hunt ; illustrated by Alex Brychta</v>
      </c>
      <c r="G490" s="3" t="str">
        <f>"Oxford University Press"</f>
        <v>Oxford University Press</v>
      </c>
      <c r="H490" s="2" t="str">
        <f>"2011"</f>
        <v>2011</v>
      </c>
      <c r="I490" s="3" t="str">
        <f>""</f>
        <v/>
      </c>
    </row>
    <row r="491" spans="1:9" x14ac:dyDescent="0.3">
      <c r="A491" s="2">
        <v>490</v>
      </c>
      <c r="B491" s="4" t="s">
        <v>18</v>
      </c>
      <c r="C491" s="3" t="str">
        <f>"TFC000000401"</f>
        <v>TFC000000401</v>
      </c>
      <c r="D491" s="3" t="str">
        <f>"F800-20-0430-(AR 1.7)"</f>
        <v>F800-20-0430-(AR 1.7)</v>
      </c>
      <c r="E491" s="3" t="str">
        <f>"Come home already!"</f>
        <v>Come home already!</v>
      </c>
      <c r="F491" s="3" t="str">
        <f>"by Jory John ; illustratrd by Benji Davies"</f>
        <v>by Jory John ; illustratrd by Benji Davies</v>
      </c>
      <c r="G491" s="3" t="str">
        <f>"Harper"</f>
        <v>Harper</v>
      </c>
      <c r="H491" s="2" t="str">
        <f>"2017"</f>
        <v>2017</v>
      </c>
      <c r="I491" s="3" t="str">
        <f>""</f>
        <v/>
      </c>
    </row>
    <row r="492" spans="1:9" x14ac:dyDescent="0.3">
      <c r="A492" s="2">
        <v>491</v>
      </c>
      <c r="B492" s="4" t="s">
        <v>18</v>
      </c>
      <c r="C492" s="3" t="str">
        <f>"TFC000000403"</f>
        <v>TFC000000403</v>
      </c>
      <c r="D492" s="3" t="str">
        <f>"F800-20-0432-(AR 1.7)"</f>
        <v>F800-20-0432-(AR 1.7)</v>
      </c>
      <c r="E492" s="3" t="str">
        <f>"One lighthouse one moon"</f>
        <v>One lighthouse one moon</v>
      </c>
      <c r="F492" s="3" t="str">
        <f>"by Anita Lobel"</f>
        <v>by Anita Lobel</v>
      </c>
      <c r="G492" s="3" t="str">
        <f>"HarperCollins:JYBooks"</f>
        <v>HarperCollins:JYBooks</v>
      </c>
      <c r="H492" s="2" t="str">
        <f>"2000"</f>
        <v>2000</v>
      </c>
      <c r="I492" s="3" t="str">
        <f>""</f>
        <v/>
      </c>
    </row>
    <row r="493" spans="1:9" x14ac:dyDescent="0.3">
      <c r="A493" s="2">
        <v>492</v>
      </c>
      <c r="B493" s="4" t="s">
        <v>18</v>
      </c>
      <c r="C493" s="3" t="str">
        <f>"TFC000000404"</f>
        <v>TFC000000404</v>
      </c>
      <c r="D493" s="3" t="str">
        <f>"F800-20-0433-(AR 1.7)"</f>
        <v>F800-20-0433-(AR 1.7)</v>
      </c>
      <c r="E493" s="3" t="str">
        <f>"Froggy's baby sister"</f>
        <v>Froggy's baby sister</v>
      </c>
      <c r="F493" s="3" t="str">
        <f>"by Jonathan London ; illustrated by Frank Remkiewicz"</f>
        <v>by Jonathan London ; illustrated by Frank Remkiewicz</v>
      </c>
      <c r="G493" s="3" t="str">
        <f>"Puffin Books"</f>
        <v>Puffin Books</v>
      </c>
      <c r="H493" s="2" t="str">
        <f>"2005"</f>
        <v>2005</v>
      </c>
      <c r="I493" s="3" t="str">
        <f>""</f>
        <v/>
      </c>
    </row>
    <row r="494" spans="1:9" x14ac:dyDescent="0.3">
      <c r="A494" s="2">
        <v>493</v>
      </c>
      <c r="B494" s="4" t="s">
        <v>18</v>
      </c>
      <c r="C494" s="3" t="str">
        <f>"TFC000000405"</f>
        <v>TFC000000405</v>
      </c>
      <c r="D494" s="3" t="str">
        <f>"F800-20-0434-(AR 1.7)"</f>
        <v>F800-20-0434-(AR 1.7)</v>
      </c>
      <c r="E494" s="3" t="str">
        <f>"Pedro keeps his cool"</f>
        <v>Pedro keeps his cool</v>
      </c>
      <c r="F494" s="3" t="str">
        <f>"by Fran Manushkin ; illustrated by Tammie Lyon"</f>
        <v>by Fran Manushkin ; illustrated by Tammie Lyon</v>
      </c>
      <c r="G494" s="3" t="str">
        <f>"Picture Window Books"</f>
        <v>Picture Window Books</v>
      </c>
      <c r="H494" s="2" t="str">
        <f>"2020"</f>
        <v>2020</v>
      </c>
      <c r="I494" s="3" t="str">
        <f>""</f>
        <v/>
      </c>
    </row>
    <row r="495" spans="1:9" x14ac:dyDescent="0.3">
      <c r="A495" s="2">
        <v>494</v>
      </c>
      <c r="B495" s="4" t="s">
        <v>18</v>
      </c>
      <c r="C495" s="3" t="str">
        <f>"TFC000000406"</f>
        <v>TFC000000406</v>
      </c>
      <c r="D495" s="3" t="str">
        <f>"F800-20-0435-(AR 1.7)"</f>
        <v>F800-20-0435-(AR 1.7)</v>
      </c>
      <c r="E495" s="3" t="str">
        <f>"(The)three little kittens(and one hungry mouse!)"</f>
        <v>(The)three little kittens(and one hungry mouse!)</v>
      </c>
      <c r="F495" s="3" t="str">
        <f>"Barbara McClintock"</f>
        <v>Barbara McClintock</v>
      </c>
      <c r="G495" s="3" t="str">
        <f>"Scholastic Press"</f>
        <v>Scholastic Press</v>
      </c>
      <c r="H495" s="2" t="str">
        <f>"2020"</f>
        <v>2020</v>
      </c>
      <c r="I495" s="3" t="str">
        <f>""</f>
        <v/>
      </c>
    </row>
    <row r="496" spans="1:9" x14ac:dyDescent="0.3">
      <c r="A496" s="2">
        <v>495</v>
      </c>
      <c r="B496" s="4" t="s">
        <v>18</v>
      </c>
      <c r="C496" s="3" t="str">
        <f>"TFC000000408"</f>
        <v>TFC000000408</v>
      </c>
      <c r="D496" s="3" t="str">
        <f>"F800-20-0437-(AR 1.7)"</f>
        <v>F800-20-0437-(AR 1.7)</v>
      </c>
      <c r="E496" s="3" t="str">
        <f>"Curious George the boat show"</f>
        <v>Curious George the boat show</v>
      </c>
      <c r="F496" s="3" t="str">
        <f>"adaptation by Marcy Kate O'Sullivan ; based on the TV series teleplay written by Raye Lankford"</f>
        <v>adaptation by Marcy Kate O'Sullivan ; based on the TV series teleplay written by Raye Lankford</v>
      </c>
      <c r="G496" s="3" t="str">
        <f>"Houghton Mifflin Company"</f>
        <v>Houghton Mifflin Company</v>
      </c>
      <c r="H496" s="2" t="str">
        <f>"2008"</f>
        <v>2008</v>
      </c>
      <c r="I496" s="3" t="str">
        <f>""</f>
        <v/>
      </c>
    </row>
    <row r="497" spans="1:9" x14ac:dyDescent="0.3">
      <c r="A497" s="2">
        <v>496</v>
      </c>
      <c r="B497" s="4" t="s">
        <v>18</v>
      </c>
      <c r="C497" s="3" t="str">
        <f>"TFC000000409"</f>
        <v>TFC000000409</v>
      </c>
      <c r="D497" s="3" t="str">
        <f>"F800-20-0438-(AR 1.7)"</f>
        <v>F800-20-0438-(AR 1.7)</v>
      </c>
      <c r="E497" s="3" t="str">
        <f>"Ma! there's nothing to do here! : a word from your baby-in-waiting"</f>
        <v>Ma! there's nothing to do here! : a word from your baby-in-waiting</v>
      </c>
      <c r="F497" s="3" t="str">
        <f>"Barbara Park ; illustrated by Viviana Garofoli"</f>
        <v>Barbara Park ; illustrated by Viviana Garofoli</v>
      </c>
      <c r="G497" s="3" t="str">
        <f>"Random House"</f>
        <v>Random House</v>
      </c>
      <c r="H497" s="2" t="str">
        <f>"2008"</f>
        <v>2008</v>
      </c>
      <c r="I497" s="3" t="str">
        <f>""</f>
        <v/>
      </c>
    </row>
    <row r="498" spans="1:9" x14ac:dyDescent="0.3">
      <c r="A498" s="2">
        <v>497</v>
      </c>
      <c r="B498" s="4" t="s">
        <v>18</v>
      </c>
      <c r="C498" s="3" t="str">
        <f>"TFC000000411"</f>
        <v>TFC000000411</v>
      </c>
      <c r="D498" s="3" t="str">
        <f>"F800-20-0440-(AR 1.7)"</f>
        <v>F800-20-0440-(AR 1.7)</v>
      </c>
      <c r="E498" s="3" t="str">
        <f>"Why?"</f>
        <v>Why?</v>
      </c>
      <c r="F498" s="3" t="str">
        <f>"written by Adam Rex ; illustrated by Claire Keane"</f>
        <v>written by Adam Rex ; illustrated by Claire Keane</v>
      </c>
      <c r="G498" s="3" t="str">
        <f>"Chronicle Books"</f>
        <v>Chronicle Books</v>
      </c>
      <c r="H498" s="2" t="str">
        <f>"2019"</f>
        <v>2019</v>
      </c>
      <c r="I498" s="3" t="str">
        <f>""</f>
        <v/>
      </c>
    </row>
    <row r="499" spans="1:9" x14ac:dyDescent="0.3">
      <c r="A499" s="2">
        <v>498</v>
      </c>
      <c r="B499" s="4" t="s">
        <v>18</v>
      </c>
      <c r="C499" s="3" t="str">
        <f>"TFC000000412"</f>
        <v>TFC000000412</v>
      </c>
      <c r="D499" s="3" t="str">
        <f>"F800-20-0441-(AR 1.7)"</f>
        <v>F800-20-0441-(AR 1.7)</v>
      </c>
      <c r="E499" s="3" t="str">
        <f>"P.J Funnybunny's bag of tricks"</f>
        <v>P.J Funnybunny's bag of tricks</v>
      </c>
      <c r="F499" s="3" t="str">
        <f>"by Marilyn Sadler ; illustrated by Roger Bollen"</f>
        <v>by Marilyn Sadler ; illustrated by Roger Bollen</v>
      </c>
      <c r="G499" s="3" t="str">
        <f>"Random House"</f>
        <v>Random House</v>
      </c>
      <c r="H499" s="2" t="str">
        <f>"2004"</f>
        <v>2004</v>
      </c>
      <c r="I499" s="3" t="str">
        <f>""</f>
        <v/>
      </c>
    </row>
    <row r="500" spans="1:9" x14ac:dyDescent="0.3">
      <c r="A500" s="2">
        <v>499</v>
      </c>
      <c r="B500" s="4" t="s">
        <v>18</v>
      </c>
      <c r="C500" s="3" t="str">
        <f>"TFC000000413"</f>
        <v>TFC000000413</v>
      </c>
      <c r="D500" s="3" t="str">
        <f>"F800-20-0442-(AR 1.7)"</f>
        <v>F800-20-0442-(AR 1.7)</v>
      </c>
      <c r="E500" s="3" t="str">
        <f>"Mouse's first spring"</f>
        <v>Mouse's first spring</v>
      </c>
      <c r="F500" s="3" t="str">
        <f>"Lauren Thompson ; illustrated by Buket Erdogan"</f>
        <v>Lauren Thompson ; illustrated by Buket Erdogan</v>
      </c>
      <c r="G500" s="3" t="str">
        <f>"Simon &amp; Schuster Books for Young Readers"</f>
        <v>Simon &amp; Schuster Books for Young Readers</v>
      </c>
      <c r="H500" s="2" t="str">
        <f>"2005"</f>
        <v>2005</v>
      </c>
      <c r="I500" s="3" t="str">
        <f>""</f>
        <v/>
      </c>
    </row>
    <row r="501" spans="1:9" x14ac:dyDescent="0.3">
      <c r="A501" s="2">
        <v>500</v>
      </c>
      <c r="B501" s="4" t="s">
        <v>18</v>
      </c>
      <c r="C501" s="3" t="str">
        <f>"TFC000000414"</f>
        <v>TFC000000414</v>
      </c>
      <c r="D501" s="3" t="str">
        <f>"F800-20-0443-(AR 1.7)"</f>
        <v>F800-20-0443-(AR 1.7)</v>
      </c>
      <c r="E501" s="3" t="str">
        <f>"I want that nut!"</f>
        <v>I want that nut!</v>
      </c>
      <c r="F501" s="3" t="str">
        <f>"Madeline Valentine"</f>
        <v>Madeline Valentine</v>
      </c>
      <c r="G501" s="3" t="str">
        <f>"Knopf A. Knopf"</f>
        <v>Knopf A. Knopf</v>
      </c>
      <c r="H501" s="2" t="str">
        <f>"2017"</f>
        <v>2017</v>
      </c>
      <c r="I501" s="3" t="str">
        <f>""</f>
        <v/>
      </c>
    </row>
    <row r="502" spans="1:9" x14ac:dyDescent="0.3">
      <c r="A502" s="2">
        <v>501</v>
      </c>
      <c r="B502" s="4" t="s">
        <v>18</v>
      </c>
      <c r="C502" s="3" t="str">
        <f>"TFC000000415"</f>
        <v>TFC000000415</v>
      </c>
      <c r="D502" s="3" t="str">
        <f>"F800-20-0444-(AR 1.7)"</f>
        <v>F800-20-0444-(AR 1.7)</v>
      </c>
      <c r="E502" s="3" t="str">
        <f>"(The)pig in the pond"</f>
        <v>(The)pig in the pond</v>
      </c>
      <c r="F502" s="3" t="str">
        <f>"Martin Waddell ; illustrated by Jill Barton"</f>
        <v>Martin Waddell ; illustrated by Jill Barton</v>
      </c>
      <c r="G502" s="3" t="str">
        <f>"Walker Books"</f>
        <v>Walker Books</v>
      </c>
      <c r="H502" s="2" t="str">
        <f>"2006"</f>
        <v>2006</v>
      </c>
      <c r="I502" s="3" t="str">
        <f>""</f>
        <v/>
      </c>
    </row>
    <row r="503" spans="1:9" x14ac:dyDescent="0.3">
      <c r="A503" s="2">
        <v>502</v>
      </c>
      <c r="B503" s="4" t="s">
        <v>18</v>
      </c>
      <c r="C503" s="3" t="str">
        <f>"TFC000000416"</f>
        <v>TFC000000416</v>
      </c>
      <c r="D503" s="3" t="str">
        <f>"F800-20-0445-(AR 1.7)"</f>
        <v>F800-20-0445-(AR 1.7)</v>
      </c>
      <c r="E503" s="3" t="str">
        <f>"Diggers and dumpers"</f>
        <v>Diggers and dumpers</v>
      </c>
      <c r="F503" s="3" t="str">
        <f>"Valerie Wilding ; illustrated by Maria Maddocks"</f>
        <v>Valerie Wilding ; illustrated by Maria Maddocks</v>
      </c>
      <c r="G503" s="3" t="str">
        <f>"Egmont"</f>
        <v>Egmont</v>
      </c>
      <c r="H503" s="2" t="str">
        <f>"2006"</f>
        <v>2006</v>
      </c>
      <c r="I503" s="3" t="str">
        <f>""</f>
        <v/>
      </c>
    </row>
    <row r="504" spans="1:9" x14ac:dyDescent="0.3">
      <c r="A504" s="2">
        <v>503</v>
      </c>
      <c r="B504" s="4" t="s">
        <v>18</v>
      </c>
      <c r="C504" s="3" t="str">
        <f>"TFC000002935"</f>
        <v>TFC000002935</v>
      </c>
      <c r="D504" s="3" t="str">
        <f>"F800-20-0446-(AR 1.7)"</f>
        <v>F800-20-0446-(AR 1.7)</v>
      </c>
      <c r="E504" s="3" t="str">
        <f>"(A)new classroom"</f>
        <v>(A)new classroom</v>
      </c>
      <c r="F504" s="3" t="str">
        <f>"written by Roderick Hunt ; illustrated by Alex Brychta"</f>
        <v>written by Roderick Hunt ; illustrated by Alex Brychta</v>
      </c>
      <c r="G504" s="3" t="str">
        <f>"Oxford University Press"</f>
        <v>Oxford University Press</v>
      </c>
      <c r="H504" s="2" t="str">
        <f>"2011"</f>
        <v>2011</v>
      </c>
      <c r="I504" s="3" t="str">
        <f>""</f>
        <v/>
      </c>
    </row>
    <row r="505" spans="1:9" x14ac:dyDescent="0.3">
      <c r="A505" s="2">
        <v>504</v>
      </c>
      <c r="B505" s="4" t="s">
        <v>18</v>
      </c>
      <c r="C505" s="3" t="str">
        <f>"TFC000002996"</f>
        <v>TFC000002996</v>
      </c>
      <c r="D505" s="3" t="str">
        <f>"F800-20-0447-(AR 1.7)"</f>
        <v>F800-20-0447-(AR 1.7)</v>
      </c>
      <c r="E505" s="3" t="str">
        <f>"Pedro goes wild!"</f>
        <v>Pedro goes wild!</v>
      </c>
      <c r="F505" s="3" t="str">
        <f>"by Fran Manushkin ; illustrated by Tammie Lyon"</f>
        <v>by Fran Manushkin ; illustrated by Tammie Lyon</v>
      </c>
      <c r="G505" s="3" t="str">
        <f>"Picture Window Books"</f>
        <v>Picture Window Books</v>
      </c>
      <c r="H505" s="2" t="str">
        <f>"2020"</f>
        <v>2020</v>
      </c>
      <c r="I505" s="3" t="str">
        <f>""</f>
        <v/>
      </c>
    </row>
    <row r="506" spans="1:9" x14ac:dyDescent="0.3">
      <c r="A506" s="2">
        <v>505</v>
      </c>
      <c r="B506" s="4" t="s">
        <v>18</v>
      </c>
      <c r="C506" s="3" t="str">
        <f>"TFC000003026"</f>
        <v>TFC000003026</v>
      </c>
      <c r="D506" s="3" t="str">
        <f>"F800-20-0448-(AR 1.7)"</f>
        <v>F800-20-0448-(AR 1.7)</v>
      </c>
      <c r="E506" s="3" t="str">
        <f>"Aalfred and Aalbert"</f>
        <v>Aalfred and Aalbert</v>
      </c>
      <c r="F506" s="3" t="str">
        <f>"Morag Hood"</f>
        <v>Morag Hood</v>
      </c>
      <c r="G506" s="3" t="str">
        <f>"Peachtree Publishing Company"</f>
        <v>Peachtree Publishing Company</v>
      </c>
      <c r="H506" s="2" t="str">
        <f>"2019"</f>
        <v>2019</v>
      </c>
      <c r="I506" s="3" t="str">
        <f>""</f>
        <v/>
      </c>
    </row>
    <row r="507" spans="1:9" x14ac:dyDescent="0.3">
      <c r="A507" s="2">
        <v>506</v>
      </c>
      <c r="B507" s="4" t="s">
        <v>18</v>
      </c>
      <c r="C507" s="3" t="str">
        <f>"TFC000003247"</f>
        <v>TFC000003247</v>
      </c>
      <c r="D507" s="3" t="str">
        <f>"F800-21-0078-(AR 1.7)"</f>
        <v>F800-21-0078-(AR 1.7)</v>
      </c>
      <c r="E507" s="3" t="str">
        <f>"Big Dog... Little Dog"</f>
        <v>Big Dog... Little Dog</v>
      </c>
      <c r="F507" s="3" t="str">
        <f>"by P. D. Eastman"</f>
        <v>by P. D. Eastman</v>
      </c>
      <c r="G507" s="3" t="str">
        <f>"Random House"</f>
        <v>Random House</v>
      </c>
      <c r="H507" s="2" t="str">
        <f>"2001"</f>
        <v>2001</v>
      </c>
      <c r="I507" s="3" t="str">
        <f>""</f>
        <v/>
      </c>
    </row>
    <row r="508" spans="1:9" x14ac:dyDescent="0.3">
      <c r="A508" s="2">
        <v>507</v>
      </c>
      <c r="B508" s="4" t="s">
        <v>18</v>
      </c>
      <c r="C508" s="3" t="str">
        <f>"TFC000003286"</f>
        <v>TFC000003286</v>
      </c>
      <c r="D508" s="3" t="str">
        <f>"F400-21-0076-(AR 1.7)"</f>
        <v>F400-21-0076-(AR 1.7)</v>
      </c>
      <c r="E508" s="3" t="str">
        <f>"Baby giraffes"</f>
        <v>Baby giraffes</v>
      </c>
      <c r="F508" s="3" t="str">
        <f>"by Spencer Brinker"</f>
        <v>by Spencer Brinker</v>
      </c>
      <c r="G508" s="3" t="str">
        <f>"Bearport Publishing Company"</f>
        <v>Bearport Publishing Company</v>
      </c>
      <c r="H508" s="2" t="str">
        <f>"2021"</f>
        <v>2021</v>
      </c>
      <c r="I508" s="3" t="str">
        <f>""</f>
        <v/>
      </c>
    </row>
    <row r="509" spans="1:9" x14ac:dyDescent="0.3">
      <c r="A509" s="2">
        <v>508</v>
      </c>
      <c r="B509" s="4" t="s">
        <v>18</v>
      </c>
      <c r="C509" s="3" t="str">
        <f>"TFC000004029"</f>
        <v>TFC000004029</v>
      </c>
      <c r="D509" s="3" t="str">
        <f>"F900-21-0084-(AR 1.7)"</f>
        <v>F900-21-0084-(AR 1.7)</v>
      </c>
      <c r="E509" s="3" t="str">
        <f>"Dwayne Johnson : Actor and pro wrestler"</f>
        <v>Dwayne Johnson : Actor and pro wrestler</v>
      </c>
      <c r="F509" s="3" t="str">
        <f>"by Rachel Rose"</f>
        <v>by Rachel Rose</v>
      </c>
      <c r="G509" s="3" t="str">
        <f>"Bearcub"</f>
        <v>Bearcub</v>
      </c>
      <c r="H509" s="2" t="str">
        <f>"2021"</f>
        <v>2021</v>
      </c>
      <c r="I509" s="3" t="str">
        <f>""</f>
        <v/>
      </c>
    </row>
    <row r="510" spans="1:9" x14ac:dyDescent="0.3">
      <c r="A510" s="2">
        <v>509</v>
      </c>
      <c r="B510" s="4" t="s">
        <v>18</v>
      </c>
      <c r="C510" s="3" t="str">
        <f>"TFC000003535"</f>
        <v>TFC000003535</v>
      </c>
      <c r="D510" s="3" t="str">
        <f>"F800-21-0080-(AR 1.7)"</f>
        <v>F800-21-0080-(AR 1.7)</v>
      </c>
      <c r="E510" s="3" t="str">
        <f>"Noodleheads lucky day"</f>
        <v>Noodleheads lucky day</v>
      </c>
      <c r="F510" s="3" t="str">
        <f>"by Tedd Arnold ; Martha Hamilton ; and Mitch Weiss ; illustrated by Tedd Arnold"</f>
        <v>by Tedd Arnold ; Martha Hamilton ; and Mitch Weiss ; illustrated by Tedd Arnold</v>
      </c>
      <c r="G510" s="3" t="str">
        <f>"Holiday House"</f>
        <v>Holiday House</v>
      </c>
      <c r="H510" s="2" t="str">
        <f>"2020"</f>
        <v>2020</v>
      </c>
      <c r="I510" s="3" t="str">
        <f>""</f>
        <v/>
      </c>
    </row>
    <row r="511" spans="1:9" x14ac:dyDescent="0.3">
      <c r="A511" s="2">
        <v>510</v>
      </c>
      <c r="B511" s="4" t="s">
        <v>18</v>
      </c>
      <c r="C511" s="3" t="str">
        <f>"TFC000003822"</f>
        <v>TFC000003822</v>
      </c>
      <c r="D511" s="3" t="str">
        <f>"F300-21-0075-(AR 1.7)"</f>
        <v>F300-21-0075-(AR 1.7)</v>
      </c>
      <c r="E511" s="3" t="str">
        <f>"Little Pea"</f>
        <v>Little Pea</v>
      </c>
      <c r="F511" s="3" t="str">
        <f>"by Amy Krouse Rosenthal, illustrated by Jen Corace"</f>
        <v>by Amy Krouse Rosenthal, illustrated by Jen Corace</v>
      </c>
      <c r="G511" s="3" t="str">
        <f>"Chronicle Books Llc"</f>
        <v>Chronicle Books Llc</v>
      </c>
      <c r="H511" s="2" t="str">
        <f>"2015"</f>
        <v>2015</v>
      </c>
      <c r="I511" s="3" t="str">
        <f>""</f>
        <v/>
      </c>
    </row>
    <row r="512" spans="1:9" x14ac:dyDescent="0.3">
      <c r="A512" s="2">
        <v>511</v>
      </c>
      <c r="B512" s="4" t="s">
        <v>18</v>
      </c>
      <c r="C512" s="3" t="str">
        <f>"TFC000003956"</f>
        <v>TFC000003956</v>
      </c>
      <c r="D512" s="3" t="str">
        <f>"F800-21-0081-(AR 1.7)"</f>
        <v>F800-21-0081-(AR 1.7)</v>
      </c>
      <c r="E512" s="3" t="str">
        <f>"Pup on the run : Barbie dreamhouse adventures"</f>
        <v>Pup on the run : Barbie dreamhouse adventures</v>
      </c>
      <c r="F512" s="3" t="str">
        <f>"adapted by Elle Stephens, based on the original screenplay by M.J. Offen"</f>
        <v>adapted by Elle Stephens, based on the original screenplay by M.J. Offen</v>
      </c>
      <c r="G512" s="3" t="str">
        <f>"Doubleday Books For Young Readers"</f>
        <v>Doubleday Books For Young Readers</v>
      </c>
      <c r="H512" s="2" t="str">
        <f>"2015"</f>
        <v>2015</v>
      </c>
      <c r="I512" s="3" t="str">
        <f>""</f>
        <v/>
      </c>
    </row>
    <row r="513" spans="1:9" x14ac:dyDescent="0.3">
      <c r="A513" s="2">
        <v>512</v>
      </c>
      <c r="B513" s="4" t="s">
        <v>18</v>
      </c>
      <c r="C513" s="3" t="str">
        <f>"TFC000004137"</f>
        <v>TFC000004137</v>
      </c>
      <c r="D513" s="3" t="str">
        <f>"F800-21-0083-(AR 1.7)"</f>
        <v>F800-21-0083-(AR 1.7)</v>
      </c>
      <c r="E513" s="3" t="str">
        <f>"Ask me"</f>
        <v>Ask me</v>
      </c>
      <c r="F513" s="3" t="str">
        <f>"by Bernard Waber, illustrated by Suzy Lee"</f>
        <v>by Bernard Waber, illustrated by Suzy Lee</v>
      </c>
      <c r="G513" s="3" t="str">
        <f>"Houghton Mifflin Harcourt"</f>
        <v>Houghton Mifflin Harcourt</v>
      </c>
      <c r="H513" s="2" t="str">
        <f>"2015"</f>
        <v>2015</v>
      </c>
      <c r="I513" s="3" t="str">
        <f>""</f>
        <v/>
      </c>
    </row>
    <row r="514" spans="1:9" x14ac:dyDescent="0.3">
      <c r="A514" s="2">
        <v>513</v>
      </c>
      <c r="B514" s="4" t="s">
        <v>18</v>
      </c>
      <c r="C514" s="3" t="str">
        <f>"TFC000004320"</f>
        <v>TFC000004320</v>
      </c>
      <c r="D514" s="3" t="str">
        <f>"F800-22-0120-(AR 1.7)"</f>
        <v>F800-22-0120-(AR 1.7)</v>
      </c>
      <c r="E514" s="3" t="str">
        <f>"Spend it! : a moneybunny book"</f>
        <v>Spend it! : a moneybunny book</v>
      </c>
      <c r="F514" s="3" t="str">
        <f>"by Cinders McLeod"</f>
        <v>by Cinders McLeod</v>
      </c>
      <c r="G514" s="3" t="str">
        <f>"Nancy Paulsen Books"</f>
        <v>Nancy Paulsen Books</v>
      </c>
      <c r="H514" s="2" t="str">
        <f>"2022"</f>
        <v>2022</v>
      </c>
      <c r="I514" s="3" t="str">
        <f>""</f>
        <v/>
      </c>
    </row>
    <row r="515" spans="1:9" x14ac:dyDescent="0.3">
      <c r="A515" s="2">
        <v>514</v>
      </c>
      <c r="B515" s="4" t="s">
        <v>18</v>
      </c>
      <c r="C515" s="3" t="str">
        <f>"TFC000004424"</f>
        <v>TFC000004424</v>
      </c>
      <c r="D515" s="3" t="str">
        <f>"F800-22-0233-(AR1.7)"</f>
        <v>F800-22-0233-(AR1.7)</v>
      </c>
      <c r="E515" s="3" t="str">
        <f>"Blue floats away"</f>
        <v>Blue floats away</v>
      </c>
      <c r="F515" s="3" t="str">
        <f>"by Travis Jonker, illustrated by Grant Snider"</f>
        <v>by Travis Jonker, illustrated by Grant Snider</v>
      </c>
      <c r="G515" s="3" t="str">
        <f>"Abrams Books for Young Readers"</f>
        <v>Abrams Books for Young Readers</v>
      </c>
      <c r="H515" s="2" t="str">
        <f>"2021"</f>
        <v>2021</v>
      </c>
      <c r="I515" s="3" t="str">
        <f>""</f>
        <v/>
      </c>
    </row>
    <row r="516" spans="1:9" x14ac:dyDescent="0.3">
      <c r="A516" s="2">
        <v>515</v>
      </c>
      <c r="B516" s="4" t="s">
        <v>18</v>
      </c>
      <c r="C516" s="3" t="str">
        <f>"TFC000004339"</f>
        <v>TFC000004339</v>
      </c>
      <c r="D516" s="3" t="str">
        <f>"F800-22-0148-(AR1.7)"</f>
        <v>F800-22-0148-(AR1.7)</v>
      </c>
      <c r="E516" s="3" t="str">
        <f>"What if ...?"</f>
        <v>What if ...?</v>
      </c>
      <c r="F516" s="3" t="str">
        <f>"by Anthony Browne"</f>
        <v>by Anthony Browne</v>
      </c>
      <c r="G516" s="3" t="str">
        <f>"Picture Corgi"</f>
        <v>Picture Corgi</v>
      </c>
      <c r="H516" s="2" t="str">
        <f>"2014"</f>
        <v>2014</v>
      </c>
      <c r="I516" s="3" t="str">
        <f>""</f>
        <v/>
      </c>
    </row>
    <row r="517" spans="1:9" x14ac:dyDescent="0.3">
      <c r="A517" s="2">
        <v>516</v>
      </c>
      <c r="B517" s="4" t="s">
        <v>18</v>
      </c>
      <c r="C517" s="3" t="str">
        <f>"TFC000004425"</f>
        <v>TFC000004425</v>
      </c>
      <c r="D517" s="3" t="str">
        <f>"F800-22-0234-(AR1.7)"</f>
        <v>F800-22-0234-(AR1.7)</v>
      </c>
      <c r="E517" s="3" t="str">
        <f>"Together"</f>
        <v>Together</v>
      </c>
      <c r="F517" s="3" t="str">
        <f>"by Heather Ayris Burnell, illustrated by Hazel Quintanilla"</f>
        <v>by Heather Ayris Burnell, illustrated by Hazel Quintanilla</v>
      </c>
      <c r="G517" s="3" t="str">
        <f>"Acorn, Scholastic Inc"</f>
        <v>Acorn, Scholastic Inc</v>
      </c>
      <c r="H517" s="2" t="str">
        <f>"2022"</f>
        <v>2022</v>
      </c>
      <c r="I517" s="3" t="str">
        <f>""</f>
        <v/>
      </c>
    </row>
    <row r="518" spans="1:9" x14ac:dyDescent="0.3">
      <c r="A518" s="2">
        <v>517</v>
      </c>
      <c r="B518" s="4" t="s">
        <v>18</v>
      </c>
      <c r="C518" s="3" t="str">
        <f>"TFC000004647"</f>
        <v>TFC000004647</v>
      </c>
      <c r="D518" s="3" t="str">
        <f>"F800-22-0456-(AR1.7)"</f>
        <v>F800-22-0456-(AR1.7)</v>
      </c>
      <c r="E518" s="3" t="str">
        <f>"Hello ninja"</f>
        <v>Hello ninja</v>
      </c>
      <c r="F518" s="3" t="str">
        <f>"by N.D. Wilson, illustrated by Forrest Dickison."</f>
        <v>by N.D. Wilson, illustrated by Forrest Dickison.</v>
      </c>
      <c r="G518" s="3" t="str">
        <f>"Harper, an imprint of HarperCollinsPublishers"</f>
        <v>Harper, an imprint of HarperCollinsPublishers</v>
      </c>
      <c r="H518" s="2" t="str">
        <f>"2019."</f>
        <v>2019.</v>
      </c>
      <c r="I518" s="3" t="str">
        <f>""</f>
        <v/>
      </c>
    </row>
    <row r="519" spans="1:9" x14ac:dyDescent="0.3">
      <c r="A519" s="2">
        <v>518</v>
      </c>
      <c r="B519" s="4" t="s">
        <v>18</v>
      </c>
      <c r="C519" s="3" t="str">
        <f>"TFC000004648"</f>
        <v>TFC000004648</v>
      </c>
      <c r="D519" s="3" t="str">
        <f>"F300-22-0457-(AR1.7)"</f>
        <v>F300-22-0457-(AR1.7)</v>
      </c>
      <c r="E519" s="3" t="str">
        <f>"Little dinos don't Bully"</f>
        <v>Little dinos don't Bully</v>
      </c>
      <c r="F519" s="3" t="str">
        <f>"written by Christianne Jones, illustrated by Adam Record"</f>
        <v>written by Christianne Jones, illustrated by Adam Record</v>
      </c>
      <c r="G519" s="3" t="str">
        <f>"Capstone Editions"</f>
        <v>Capstone Editions</v>
      </c>
      <c r="H519" s="2" t="str">
        <f>"2022"</f>
        <v>2022</v>
      </c>
      <c r="I519" s="3" t="str">
        <f>""</f>
        <v/>
      </c>
    </row>
    <row r="520" spans="1:9" x14ac:dyDescent="0.3">
      <c r="A520" s="2">
        <v>519</v>
      </c>
      <c r="B520" s="4" t="s">
        <v>18</v>
      </c>
      <c r="C520" s="3" t="str">
        <f>"TFC000004649"</f>
        <v>TFC000004649</v>
      </c>
      <c r="D520" s="3" t="str">
        <f>"F800-22-0458-(AR1.7)"</f>
        <v>F800-22-0458-(AR1.7)</v>
      </c>
      <c r="E520" s="3" t="str">
        <f>"One Snowy Morning"</f>
        <v>One Snowy Morning</v>
      </c>
      <c r="F520" s="3" t="str">
        <f>"by Kevin Tseng, illustrated by Dana Wulfekotte"</f>
        <v>by Kevin Tseng, illustrated by Dana Wulfekotte</v>
      </c>
      <c r="G520" s="3" t="str">
        <f>"Dial Books for Young Readers"</f>
        <v>Dial Books for Young Readers</v>
      </c>
      <c r="H520" s="2" t="str">
        <f>"2019"</f>
        <v>2019</v>
      </c>
      <c r="I520" s="3" t="str">
        <f>""</f>
        <v/>
      </c>
    </row>
    <row r="521" spans="1:9" x14ac:dyDescent="0.3">
      <c r="A521" s="2">
        <v>520</v>
      </c>
      <c r="B521" s="4" t="s">
        <v>18</v>
      </c>
      <c r="C521" s="3" t="str">
        <f>"TFC000004650"</f>
        <v>TFC000004650</v>
      </c>
      <c r="D521" s="3" t="str">
        <f>"F800-22-0459-(AR1.7)"</f>
        <v>F800-22-0459-(AR1.7)</v>
      </c>
      <c r="E521" s="3" t="str">
        <f>"Making new friends"</f>
        <v>Making new friends</v>
      </c>
      <c r="F521" s="3" t="str">
        <f>"by James Dean"</f>
        <v>by James Dean</v>
      </c>
      <c r="G521" s="3" t="str">
        <f>"HarperCollins Canada"</f>
        <v>HarperCollins Canada</v>
      </c>
      <c r="H521" s="2" t="str">
        <f>"2021"</f>
        <v>2021</v>
      </c>
      <c r="I521" s="3" t="str">
        <f>""</f>
        <v/>
      </c>
    </row>
    <row r="522" spans="1:9" x14ac:dyDescent="0.3">
      <c r="A522" s="2">
        <v>521</v>
      </c>
      <c r="B522" s="4" t="s">
        <v>19</v>
      </c>
      <c r="C522" s="3" t="str">
        <f>"TFC000004307"</f>
        <v>TFC000004307</v>
      </c>
      <c r="D522" s="3" t="str">
        <f>"F800-22-0118-(AR 1.8)"</f>
        <v>F800-22-0118-(AR 1.8)</v>
      </c>
      <c r="E522" s="3" t="str">
        <f>"Life"</f>
        <v>Life</v>
      </c>
      <c r="F522" s="3" t="str">
        <f>"by Cynthia rylant"</f>
        <v>by Cynthia rylant</v>
      </c>
      <c r="G522" s="3" t="str">
        <f>"TWOPONDS(투판즈)"</f>
        <v>TWOPONDS(투판즈)</v>
      </c>
      <c r="H522" s="2" t="str">
        <f>"2021"</f>
        <v>2021</v>
      </c>
      <c r="I522" s="2" t="s">
        <v>2</v>
      </c>
    </row>
    <row r="523" spans="1:9" x14ac:dyDescent="0.3">
      <c r="A523" s="2">
        <v>522</v>
      </c>
      <c r="B523" s="4" t="s">
        <v>19</v>
      </c>
      <c r="C523" s="3" t="str">
        <f>"TFC000000417"</f>
        <v>TFC000000417</v>
      </c>
      <c r="D523" s="3" t="str">
        <f>"F800-20-0450-(AR 1.8)"</f>
        <v>F800-20-0450-(AR 1.8)</v>
      </c>
      <c r="E523" s="3" t="str">
        <f>"Goodnight moon"</f>
        <v>Goodnight moon</v>
      </c>
      <c r="F523" s="3" t="str">
        <f>"by Margaret Wise Brown ; picture by Clement Hurd"</f>
        <v>by Margaret Wise Brown ; picture by Clement Hurd</v>
      </c>
      <c r="G523" s="3" t="str">
        <f>"HarperCollins Publishers"</f>
        <v>HarperCollins Publishers</v>
      </c>
      <c r="H523" s="2" t="str">
        <f>"2005"</f>
        <v>2005</v>
      </c>
      <c r="I523" s="3" t="str">
        <f>""</f>
        <v/>
      </c>
    </row>
    <row r="524" spans="1:9" x14ac:dyDescent="0.3">
      <c r="A524" s="2">
        <v>523</v>
      </c>
      <c r="B524" s="4" t="s">
        <v>19</v>
      </c>
      <c r="C524" s="3" t="str">
        <f>"TFC000000418"</f>
        <v>TFC000000418</v>
      </c>
      <c r="D524" s="3" t="str">
        <f>"F800-20-0451-(AR 1.8)"</f>
        <v>F800-20-0451-(AR 1.8)</v>
      </c>
      <c r="E524" s="3" t="str">
        <f>"All tutus should be pink"</f>
        <v>All tutus should be pink</v>
      </c>
      <c r="F524" s="3" t="str">
        <f>"by Sheri Brownrigg ; illustrated by Meredith Johnson"</f>
        <v>by Sheri Brownrigg ; illustrated by Meredith Johnson</v>
      </c>
      <c r="G524" s="3" t="str">
        <f>"Scholastic"</f>
        <v>Scholastic</v>
      </c>
      <c r="H524" s="2" t="str">
        <f>"2008"</f>
        <v>2008</v>
      </c>
      <c r="I524" s="3" t="str">
        <f>""</f>
        <v/>
      </c>
    </row>
    <row r="525" spans="1:9" x14ac:dyDescent="0.3">
      <c r="A525" s="2">
        <v>524</v>
      </c>
      <c r="B525" s="4" t="s">
        <v>19</v>
      </c>
      <c r="C525" s="3" t="str">
        <f>"TFC000000419"</f>
        <v>TFC000000419</v>
      </c>
      <c r="D525" s="3" t="str">
        <f>"F800-20-0452-(AR 1.8)"</f>
        <v>F800-20-0452-(AR 1.8)</v>
      </c>
      <c r="E525" s="3" t="str">
        <f>"Willy the dreamer"</f>
        <v>Willy the dreamer</v>
      </c>
      <c r="F525" s="3" t="str">
        <f>"Anthony Browne"</f>
        <v>Anthony Browne</v>
      </c>
      <c r="G525" s="3" t="str">
        <f>"Walker Books"</f>
        <v>Walker Books</v>
      </c>
      <c r="H525" s="2" t="str">
        <f>"2008"</f>
        <v>2008</v>
      </c>
      <c r="I525" s="3" t="str">
        <f>""</f>
        <v/>
      </c>
    </row>
    <row r="526" spans="1:9" x14ac:dyDescent="0.3">
      <c r="A526" s="2">
        <v>525</v>
      </c>
      <c r="B526" s="4" t="s">
        <v>19</v>
      </c>
      <c r="C526" s="3" t="str">
        <f>"TFC000000420"</f>
        <v>TFC000000420</v>
      </c>
      <c r="D526" s="3" t="str">
        <f>"F800-20-0453-(AR 1.8)"</f>
        <v>F800-20-0453-(AR 1.8)</v>
      </c>
      <c r="E526" s="3" t="str">
        <f>"(The)mixed-up chameleon"</f>
        <v>(The)mixed-up chameleon</v>
      </c>
      <c r="F526" s="3" t="str">
        <f>"by Eric Carle"</f>
        <v>by Eric Carle</v>
      </c>
      <c r="G526" s="3" t="str">
        <f>"HarperCollins"</f>
        <v>HarperCollins</v>
      </c>
      <c r="H526" s="2" t="str">
        <f>"1984"</f>
        <v>1984</v>
      </c>
      <c r="I526" s="3" t="str">
        <f>""</f>
        <v/>
      </c>
    </row>
    <row r="527" spans="1:9" x14ac:dyDescent="0.3">
      <c r="A527" s="2">
        <v>526</v>
      </c>
      <c r="B527" s="4" t="s">
        <v>19</v>
      </c>
      <c r="C527" s="3" t="str">
        <f>"TFC000000421"</f>
        <v>TFC000000421</v>
      </c>
      <c r="D527" s="3" t="str">
        <f>"F800-20-0454-(AR 1.8)"</f>
        <v>F800-20-0454-(AR 1.8)</v>
      </c>
      <c r="E527" s="3" t="str">
        <f>"My apron : a story from my childhood"</f>
        <v>My apron : a story from my childhood</v>
      </c>
      <c r="F527" s="3" t="str">
        <f>"written and illustrated by Eric Carle"</f>
        <v>written and illustrated by Eric Carle</v>
      </c>
      <c r="G527" s="3" t="str">
        <f>"Philomel"</f>
        <v>Philomel</v>
      </c>
      <c r="H527" s="2" t="str">
        <f>"2019"</f>
        <v>2019</v>
      </c>
      <c r="I527" s="3" t="str">
        <f>""</f>
        <v/>
      </c>
    </row>
    <row r="528" spans="1:9" x14ac:dyDescent="0.3">
      <c r="A528" s="2">
        <v>527</v>
      </c>
      <c r="B528" s="4" t="s">
        <v>19</v>
      </c>
      <c r="C528" s="3" t="str">
        <f>"TFC000000422"</f>
        <v>TFC000000422</v>
      </c>
      <c r="D528" s="3" t="str">
        <f>"F800-20-0455-(AR 1.8)"</f>
        <v>F800-20-0455-(AR 1.8)</v>
      </c>
      <c r="E528" s="3" t="str">
        <f>"Danny and the dinosaur go to camp"</f>
        <v>Danny and the dinosaur go to camp</v>
      </c>
      <c r="F528" s="3" t="str">
        <f>"story and pictures by Syd Hoff"</f>
        <v>story and pictures by Syd Hoff</v>
      </c>
      <c r="G528" s="3" t="str">
        <f>"Harper Trophy"</f>
        <v>Harper Trophy</v>
      </c>
      <c r="H528" s="2" t="str">
        <f>"1996"</f>
        <v>1996</v>
      </c>
      <c r="I528" s="3" t="str">
        <f>""</f>
        <v/>
      </c>
    </row>
    <row r="529" spans="1:9" x14ac:dyDescent="0.3">
      <c r="A529" s="2">
        <v>528</v>
      </c>
      <c r="B529" s="4" t="s">
        <v>19</v>
      </c>
      <c r="C529" s="3" t="str">
        <f>"TFC000000423"</f>
        <v>TFC000000423</v>
      </c>
      <c r="D529" s="3" t="str">
        <f>"F800-20-0456-(AR 1.8)"</f>
        <v>F800-20-0456-(AR 1.8)</v>
      </c>
      <c r="E529" s="3" t="str">
        <f>"Goggles"</f>
        <v>Goggles</v>
      </c>
      <c r="F529" s="3" t="str">
        <f>"Ezra Jack Keats"</f>
        <v>Ezra Jack Keats</v>
      </c>
      <c r="G529" s="3" t="str">
        <f>"Puffin Books"</f>
        <v>Puffin Books</v>
      </c>
      <c r="H529" s="2" t="str">
        <f>"1998"</f>
        <v>1998</v>
      </c>
      <c r="I529" s="3" t="str">
        <f>""</f>
        <v/>
      </c>
    </row>
    <row r="530" spans="1:9" x14ac:dyDescent="0.3">
      <c r="A530" s="2">
        <v>529</v>
      </c>
      <c r="B530" s="4" t="s">
        <v>19</v>
      </c>
      <c r="C530" s="3" t="str">
        <f>"TFC000000424"</f>
        <v>TFC000000424</v>
      </c>
      <c r="D530" s="3" t="str">
        <f>"F800-20-0457-(AR 1.8)"</f>
        <v>F800-20-0457-(AR 1.8)</v>
      </c>
      <c r="E530" s="3" t="str">
        <f>"Peter's chair"</f>
        <v>Peter's chair</v>
      </c>
      <c r="F530" s="3" t="str">
        <f>"Ezra Jack Keats"</f>
        <v>Ezra Jack Keats</v>
      </c>
      <c r="G530" s="3" t="str">
        <f>"Puffin Boks"</f>
        <v>Puffin Boks</v>
      </c>
      <c r="H530" s="2" t="str">
        <f>"1998"</f>
        <v>1998</v>
      </c>
      <c r="I530" s="3" t="str">
        <f>""</f>
        <v/>
      </c>
    </row>
    <row r="531" spans="1:9" x14ac:dyDescent="0.3">
      <c r="A531" s="2">
        <v>530</v>
      </c>
      <c r="B531" s="4" t="s">
        <v>19</v>
      </c>
      <c r="C531" s="3" t="str">
        <f>"TFC000000425"</f>
        <v>TFC000000425</v>
      </c>
      <c r="D531" s="3" t="str">
        <f>"F800-20-0458-(AR 1.8)"</f>
        <v>F800-20-0458-(AR 1.8)</v>
      </c>
      <c r="E531" s="3" t="str">
        <f>"Zack's alligator and the first snow"</f>
        <v>Zack's alligator and the first snow</v>
      </c>
      <c r="F531" s="3" t="str">
        <f>"story by Shirley Mozelle ; pictures by James Watts"</f>
        <v>story by Shirley Mozelle ; pictures by James Watts</v>
      </c>
      <c r="G531" s="3" t="str">
        <f>"Harper"</f>
        <v>Harper</v>
      </c>
      <c r="H531" s="2" t="str">
        <f>"2011"</f>
        <v>2011</v>
      </c>
      <c r="I531" s="3" t="str">
        <f>""</f>
        <v/>
      </c>
    </row>
    <row r="532" spans="1:9" x14ac:dyDescent="0.3">
      <c r="A532" s="2">
        <v>531</v>
      </c>
      <c r="B532" s="4" t="s">
        <v>19</v>
      </c>
      <c r="C532" s="3" t="str">
        <f>"TFC000000426"</f>
        <v>TFC000000426</v>
      </c>
      <c r="D532" s="3" t="str">
        <f>"F800-20-0459-(AR 1.8)"</f>
        <v>F800-20-0459-(AR 1.8)</v>
      </c>
      <c r="E532" s="3" t="str">
        <f>"Two crazy pigs"</f>
        <v>Two crazy pigs</v>
      </c>
      <c r="F532" s="3" t="str">
        <f>"by Karen Berman Nagel ; illustrated by Brian Schatell"</f>
        <v>by Karen Berman Nagel ; illustrated by Brian Schatell</v>
      </c>
      <c r="G532" s="3" t="str">
        <f>"Scholastic"</f>
        <v>Scholastic</v>
      </c>
      <c r="H532" s="2" t="str">
        <f>"2003"</f>
        <v>2003</v>
      </c>
      <c r="I532" s="3" t="str">
        <f>""</f>
        <v/>
      </c>
    </row>
    <row r="533" spans="1:9" x14ac:dyDescent="0.3">
      <c r="A533" s="2">
        <v>532</v>
      </c>
      <c r="B533" s="4" t="s">
        <v>19</v>
      </c>
      <c r="C533" s="3" t="str">
        <f>"TFC000000428"</f>
        <v>TFC000000428</v>
      </c>
      <c r="D533" s="3" t="str">
        <f>"F800-20-0461-(AR 1.8)"</f>
        <v>F800-20-0461-(AR 1.8)</v>
      </c>
      <c r="E533" s="3" t="str">
        <f>"Oh, the thinks you can think!"</f>
        <v>Oh, the thinks you can think!</v>
      </c>
      <c r="F533" s="3" t="str">
        <f>"by Dr. Seuss"</f>
        <v>by Dr. Seuss</v>
      </c>
      <c r="G533" s="3" t="str">
        <f>"Random House"</f>
        <v>Random House</v>
      </c>
      <c r="H533" s="2" t="str">
        <f>"1975"</f>
        <v>1975</v>
      </c>
      <c r="I533" s="3" t="str">
        <f>""</f>
        <v/>
      </c>
    </row>
    <row r="534" spans="1:9" x14ac:dyDescent="0.3">
      <c r="A534" s="2">
        <v>533</v>
      </c>
      <c r="B534" s="4" t="s">
        <v>19</v>
      </c>
      <c r="C534" s="3" t="str">
        <f>"TFC000000429"</f>
        <v>TFC000000429</v>
      </c>
      <c r="D534" s="3" t="str">
        <f>"F800-20-0462-(AR 1.8)"</f>
        <v>F800-20-0462-(AR 1.8)</v>
      </c>
      <c r="E534" s="3" t="str">
        <f>"Fire truck"</f>
        <v>Fire truck</v>
      </c>
      <c r="F534" s="3" t="str">
        <f>"by Peter Sis"</f>
        <v>by Peter Sis</v>
      </c>
      <c r="G534" s="3" t="str">
        <f>"Greenwilow books"</f>
        <v>Greenwilow books</v>
      </c>
      <c r="H534" s="2" t="str">
        <f>"1998"</f>
        <v>1998</v>
      </c>
      <c r="I534" s="3" t="str">
        <f>""</f>
        <v/>
      </c>
    </row>
    <row r="535" spans="1:9" x14ac:dyDescent="0.3">
      <c r="A535" s="2">
        <v>534</v>
      </c>
      <c r="B535" s="4" t="s">
        <v>19</v>
      </c>
      <c r="C535" s="3" t="str">
        <f>"TFC000000430"</f>
        <v>TFC000000430</v>
      </c>
      <c r="D535" s="3" t="str">
        <f>"F800-20-0463-(AR 1.8)"</f>
        <v>F800-20-0463-(AR 1.8)</v>
      </c>
      <c r="E535" s="3" t="str">
        <f>"There's a Fly Guy in my soup"</f>
        <v>There's a Fly Guy in my soup</v>
      </c>
      <c r="F535" s="3" t="str">
        <f>"by Tedd Arnold"</f>
        <v>by Tedd Arnold</v>
      </c>
      <c r="G535" s="3" t="str">
        <f>"Cartwheel Books"</f>
        <v>Cartwheel Books</v>
      </c>
      <c r="H535" s="2" t="str">
        <f>"2012"</f>
        <v>2012</v>
      </c>
      <c r="I535" s="3" t="str">
        <f>""</f>
        <v/>
      </c>
    </row>
    <row r="536" spans="1:9" x14ac:dyDescent="0.3">
      <c r="A536" s="2">
        <v>535</v>
      </c>
      <c r="B536" s="4" t="s">
        <v>19</v>
      </c>
      <c r="C536" s="3" t="str">
        <f>"TFC000000431"</f>
        <v>TFC000000431</v>
      </c>
      <c r="D536" s="3" t="str">
        <f>"F800-20-0464-(AR 1.8)"</f>
        <v>F800-20-0464-(AR 1.8)</v>
      </c>
      <c r="E536" s="3" t="str">
        <f>"Jack blasts off!"</f>
        <v>Jack blasts off!</v>
      </c>
      <c r="F536" s="3" t="str">
        <f>"Mac Barnett ; illustrated by Greg Pizzoli"</f>
        <v>Mac Barnett ; illustrated by Greg Pizzoli</v>
      </c>
      <c r="G536" s="3" t="str">
        <f>"Viking"</f>
        <v>Viking</v>
      </c>
      <c r="H536" s="2" t="str">
        <f>"2019"</f>
        <v>2019</v>
      </c>
      <c r="I536" s="3" t="str">
        <f>""</f>
        <v/>
      </c>
    </row>
    <row r="537" spans="1:9" x14ac:dyDescent="0.3">
      <c r="A537" s="2">
        <v>536</v>
      </c>
      <c r="B537" s="4" t="s">
        <v>19</v>
      </c>
      <c r="C537" s="3" t="str">
        <f>"TFC000000432"</f>
        <v>TFC000000432</v>
      </c>
      <c r="D537" s="3" t="str">
        <f>"F800-20-0465-(AR 1.8)"</f>
        <v>F800-20-0465-(AR 1.8)</v>
      </c>
      <c r="E537" s="3" t="str">
        <f>"Clouds"</f>
        <v>Clouds</v>
      </c>
      <c r="F537" s="3" t="str">
        <f>"written by Marion Dane Bauer ; illustrated by John Wallace"</f>
        <v>written by Marion Dane Bauer ; illustrated by John Wallace</v>
      </c>
      <c r="G537" s="3" t="str">
        <f>"Aladdin"</f>
        <v>Aladdin</v>
      </c>
      <c r="H537" s="2" t="str">
        <f>"2004"</f>
        <v>2004</v>
      </c>
      <c r="I537" s="3" t="str">
        <f>""</f>
        <v/>
      </c>
    </row>
    <row r="538" spans="1:9" x14ac:dyDescent="0.3">
      <c r="A538" s="2">
        <v>537</v>
      </c>
      <c r="B538" s="4" t="s">
        <v>19</v>
      </c>
      <c r="C538" s="3" t="str">
        <f>"TFC000000433"</f>
        <v>TFC000000433</v>
      </c>
      <c r="D538" s="3" t="str">
        <f>"F800-20-0466-(AR 1.8)"</f>
        <v>F800-20-0466-(AR 1.8)</v>
      </c>
      <c r="E538" s="3" t="str">
        <f>"(The)berenstain bears' new pup"</f>
        <v>(The)berenstain bears' new pup</v>
      </c>
      <c r="F538" s="3" t="str">
        <f>"Stan Berenstain, Jan Berenstain"</f>
        <v>Stan Berenstain, Jan Berenstain</v>
      </c>
      <c r="G538" s="3" t="str">
        <f>"Harper"</f>
        <v>Harper</v>
      </c>
      <c r="H538" s="2" t="str">
        <f>"2005"</f>
        <v>2005</v>
      </c>
      <c r="I538" s="3" t="str">
        <f>""</f>
        <v/>
      </c>
    </row>
    <row r="539" spans="1:9" x14ac:dyDescent="0.3">
      <c r="A539" s="2">
        <v>538</v>
      </c>
      <c r="B539" s="4" t="s">
        <v>19</v>
      </c>
      <c r="C539" s="3" t="str">
        <f>"TFC000000434"</f>
        <v>TFC000000434</v>
      </c>
      <c r="D539" s="3" t="str">
        <f>"F800-20-0467-(AR 1.8)"</f>
        <v>F800-20-0467-(AR 1.8)</v>
      </c>
      <c r="E539" s="3" t="str">
        <f>"Wolfie the Bunny"</f>
        <v>Wolfie the Bunny</v>
      </c>
      <c r="F539" s="3" t="str">
        <f>"written by Ame Dyckman ; illustrated by Zachariah OHora"</f>
        <v>written by Ame Dyckman ; illustrated by Zachariah OHora</v>
      </c>
      <c r="G539" s="3" t="str">
        <f>"Little, Brown"</f>
        <v>Little, Brown</v>
      </c>
      <c r="H539" s="2" t="str">
        <f>"2015"</f>
        <v>2015</v>
      </c>
      <c r="I539" s="3" t="str">
        <f>""</f>
        <v/>
      </c>
    </row>
    <row r="540" spans="1:9" x14ac:dyDescent="0.3">
      <c r="A540" s="2">
        <v>539</v>
      </c>
      <c r="B540" s="4" t="s">
        <v>19</v>
      </c>
      <c r="C540" s="3" t="str">
        <f>"TFC000000435"</f>
        <v>TFC000000435</v>
      </c>
      <c r="D540" s="3" t="str">
        <f>"F800-20-0468-(AR 1.8)"</f>
        <v>F800-20-0468-(AR 1.8)</v>
      </c>
      <c r="E540" s="3" t="str">
        <f>"Hattie and the fox"</f>
        <v>Hattie and the fox</v>
      </c>
      <c r="F540" s="3" t="str">
        <f>"by Mem Fox ; illustrated by Patricia Mullins"</f>
        <v>by Mem Fox ; illustrated by Patricia Mullins</v>
      </c>
      <c r="G540" s="3" t="str">
        <f>"Simon &amp; Schuster"</f>
        <v>Simon &amp; Schuster</v>
      </c>
      <c r="H540" s="2" t="str">
        <f>"1992"</f>
        <v>1992</v>
      </c>
      <c r="I540" s="3" t="str">
        <f>""</f>
        <v/>
      </c>
    </row>
    <row r="541" spans="1:9" x14ac:dyDescent="0.3">
      <c r="A541" s="2">
        <v>540</v>
      </c>
      <c r="B541" s="4" t="s">
        <v>19</v>
      </c>
      <c r="C541" s="3" t="str">
        <f>"TFC000000436"</f>
        <v>TFC000000436</v>
      </c>
      <c r="D541" s="3" t="str">
        <f>"F800-20-0469-(AR 1.8)"</f>
        <v>F800-20-0469-(AR 1.8)</v>
      </c>
      <c r="E541" s="3" t="str">
        <f>"How to grow a friend"</f>
        <v>How to grow a friend</v>
      </c>
      <c r="F541" s="3" t="str">
        <f>"by Sara Gillingham"</f>
        <v>by Sara Gillingham</v>
      </c>
      <c r="G541" s="3" t="str">
        <f>"Random House"</f>
        <v>Random House</v>
      </c>
      <c r="H541" s="2" t="str">
        <f>"2015"</f>
        <v>2015</v>
      </c>
      <c r="I541" s="3" t="str">
        <f>""</f>
        <v/>
      </c>
    </row>
    <row r="542" spans="1:9" x14ac:dyDescent="0.3">
      <c r="A542" s="2">
        <v>541</v>
      </c>
      <c r="B542" s="4" t="s">
        <v>19</v>
      </c>
      <c r="C542" s="3" t="str">
        <f>"TFC000000438"</f>
        <v>TFC000000438</v>
      </c>
      <c r="D542" s="3" t="str">
        <f>"F800-20-0471-(AR 1.8)"</f>
        <v>F800-20-0471-(AR 1.8)</v>
      </c>
      <c r="E542" s="3" t="str">
        <f>"Pinkalicious the pinkerrific playdate"</f>
        <v>Pinkalicious the pinkerrific playdate</v>
      </c>
      <c r="F542" s="3" t="str">
        <f>"by Victoria Kann"</f>
        <v>by Victoria Kann</v>
      </c>
      <c r="G542" s="3" t="str">
        <f>"HarperTrophy"</f>
        <v>HarperTrophy</v>
      </c>
      <c r="H542" s="2" t="str">
        <f>"2011"</f>
        <v>2011</v>
      </c>
      <c r="I542" s="3" t="str">
        <f>""</f>
        <v/>
      </c>
    </row>
    <row r="543" spans="1:9" x14ac:dyDescent="0.3">
      <c r="A543" s="2">
        <v>542</v>
      </c>
      <c r="B543" s="4" t="s">
        <v>19</v>
      </c>
      <c r="C543" s="3" t="str">
        <f>"TFC000000439"</f>
        <v>TFC000000439</v>
      </c>
      <c r="D543" s="3" t="str">
        <f>"F800-20-0472-(AR 1.8)"</f>
        <v>F800-20-0472-(AR 1.8)</v>
      </c>
      <c r="E543" s="3" t="str">
        <f>"Pinkalicious : pink around the rink"</f>
        <v>Pinkalicious : pink around the rink</v>
      </c>
      <c r="F543" s="3" t="str">
        <f>"by Victoria Kann"</f>
        <v>by Victoria Kann</v>
      </c>
      <c r="G543" s="3" t="str">
        <f>"Harper"</f>
        <v>Harper</v>
      </c>
      <c r="H543" s="2" t="str">
        <f>"2010"</f>
        <v>2010</v>
      </c>
      <c r="I543" s="3" t="str">
        <f>""</f>
        <v/>
      </c>
    </row>
    <row r="544" spans="1:9" x14ac:dyDescent="0.3">
      <c r="A544" s="2">
        <v>543</v>
      </c>
      <c r="B544" s="4" t="s">
        <v>19</v>
      </c>
      <c r="C544" s="3" t="str">
        <f>"TFC000000440"</f>
        <v>TFC000000440</v>
      </c>
      <c r="D544" s="3" t="str">
        <f>"F800-20-0473-(AR 1.8)"</f>
        <v>F800-20-0473-(AR 1.8)</v>
      </c>
      <c r="E544" s="3" t="str">
        <f>"Baghead"</f>
        <v>Baghead</v>
      </c>
      <c r="F544" s="3" t="str">
        <f>"Jarrett J. Krosoczka"</f>
        <v>Jarrett J. Krosoczka</v>
      </c>
      <c r="G544" s="3" t="str">
        <f>"Dragonfly Books"</f>
        <v>Dragonfly Books</v>
      </c>
      <c r="H544" s="2" t="str">
        <f>"2004"</f>
        <v>2004</v>
      </c>
      <c r="I544" s="3" t="str">
        <f>""</f>
        <v/>
      </c>
    </row>
    <row r="545" spans="1:9" x14ac:dyDescent="0.3">
      <c r="A545" s="2">
        <v>544</v>
      </c>
      <c r="B545" s="4" t="s">
        <v>19</v>
      </c>
      <c r="C545" s="3" t="str">
        <f>"TFC000000441"</f>
        <v>TFC000000441</v>
      </c>
      <c r="D545" s="3" t="str">
        <f>"F800-20-0474-(AR 1.8)"</f>
        <v>F800-20-0474-(AR 1.8)</v>
      </c>
      <c r="E545" s="3" t="str">
        <f>"Unicorn wings"</f>
        <v>Unicorn wings</v>
      </c>
      <c r="F545" s="3" t="str">
        <f>"by Mallory Loehr ; illustrated by Pamela silin Palmer"</f>
        <v>by Mallory Loehr ; illustrated by Pamela silin Palmer</v>
      </c>
      <c r="G545" s="3" t="str">
        <f>"Random House"</f>
        <v>Random House</v>
      </c>
      <c r="H545" s="2" t="str">
        <f>"2006"</f>
        <v>2006</v>
      </c>
      <c r="I545" s="3" t="str">
        <f>""</f>
        <v/>
      </c>
    </row>
    <row r="546" spans="1:9" x14ac:dyDescent="0.3">
      <c r="A546" s="2">
        <v>545</v>
      </c>
      <c r="B546" s="4" t="s">
        <v>19</v>
      </c>
      <c r="C546" s="3" t="str">
        <f>"TFC000000442"</f>
        <v>TFC000000442</v>
      </c>
      <c r="D546" s="3" t="str">
        <f>"F800-20-0475-(AR 1.8)"</f>
        <v>F800-20-0475-(AR 1.8)</v>
      </c>
      <c r="E546" s="3" t="str">
        <f>"Froggy gets dressed"</f>
        <v>Froggy gets dressed</v>
      </c>
      <c r="F546" s="3" t="str">
        <f>"by Jonathan London ; illustrated by Frank Remkiewicz"</f>
        <v>by Jonathan London ; illustrated by Frank Remkiewicz</v>
      </c>
      <c r="G546" s="3" t="str">
        <f>"Puffin Books"</f>
        <v>Puffin Books</v>
      </c>
      <c r="H546" s="2" t="str">
        <f>"1994"</f>
        <v>1994</v>
      </c>
      <c r="I546" s="3" t="str">
        <f>""</f>
        <v/>
      </c>
    </row>
    <row r="547" spans="1:9" x14ac:dyDescent="0.3">
      <c r="A547" s="2">
        <v>546</v>
      </c>
      <c r="B547" s="4" t="s">
        <v>19</v>
      </c>
      <c r="C547" s="3" t="str">
        <f>"TFC000000443"</f>
        <v>TFC000000443</v>
      </c>
      <c r="D547" s="3" t="str">
        <f>"F800-20-0476-(AR 1.8)"</f>
        <v>F800-20-0476-(AR 1.8)</v>
      </c>
      <c r="E547" s="3" t="str">
        <f>"Valensteins"</f>
        <v>Valensteins</v>
      </c>
      <c r="F547" s="3" t="str">
        <f>"Ethan Long"</f>
        <v>Ethan Long</v>
      </c>
      <c r="G547" s="3" t="str">
        <f>"Bloomsbury"</f>
        <v>Bloomsbury</v>
      </c>
      <c r="H547" s="2" t="str">
        <f>"2017"</f>
        <v>2017</v>
      </c>
      <c r="I547" s="3" t="str">
        <f>""</f>
        <v/>
      </c>
    </row>
    <row r="548" spans="1:9" x14ac:dyDescent="0.3">
      <c r="A548" s="2">
        <v>547</v>
      </c>
      <c r="B548" s="4" t="s">
        <v>19</v>
      </c>
      <c r="C548" s="3" t="str">
        <f>"TFC000000445"</f>
        <v>TFC000000445</v>
      </c>
      <c r="D548" s="3" t="str">
        <f>"F800-20-0478-(AR 1.8)"</f>
        <v>F800-20-0478-(AR 1.8)</v>
      </c>
      <c r="E548" s="3" t="str">
        <f>"Happy valentine's day, mouse!"</f>
        <v>Happy valentine's day, mouse!</v>
      </c>
      <c r="F548" s="3" t="str">
        <f>"Laura Numeroff ; illustrated by Felicia Bond"</f>
        <v>Laura Numeroff ; illustrated by Felicia Bond</v>
      </c>
      <c r="G548" s="3" t="str">
        <f>"Balzer + Bray"</f>
        <v>Balzer + Bray</v>
      </c>
      <c r="H548" s="2" t="str">
        <f>"2009"</f>
        <v>2009</v>
      </c>
      <c r="I548" s="3" t="str">
        <f>""</f>
        <v/>
      </c>
    </row>
    <row r="549" spans="1:9" x14ac:dyDescent="0.3">
      <c r="A549" s="2">
        <v>548</v>
      </c>
      <c r="B549" s="4" t="s">
        <v>19</v>
      </c>
      <c r="C549" s="3" t="str">
        <f>"TFC000000446"</f>
        <v>TFC000000446</v>
      </c>
      <c r="D549" s="3" t="str">
        <f>"F800-20-0479-(AR 1.8)"</f>
        <v>F800-20-0479-(AR 1.8)</v>
      </c>
      <c r="E549" s="3" t="str">
        <f>"(The)three little pigs = Los tres cerditos"</f>
        <v>(The)three little pigs = Los tres cerditos</v>
      </c>
      <c r="F549" s="3" t="str">
        <f>"Luz Orihuela ; illustrated by Maria Rius"</f>
        <v>Luz Orihuela ; illustrated by Maria Rius</v>
      </c>
      <c r="G549" s="3" t="str">
        <f>"Scholastic"</f>
        <v>Scholastic</v>
      </c>
      <c r="H549" s="2" t="str">
        <f>"2006"</f>
        <v>2006</v>
      </c>
      <c r="I549" s="3" t="str">
        <f>""</f>
        <v/>
      </c>
    </row>
    <row r="550" spans="1:9" x14ac:dyDescent="0.3">
      <c r="A550" s="2">
        <v>549</v>
      </c>
      <c r="B550" s="4" t="s">
        <v>19</v>
      </c>
      <c r="C550" s="3" t="str">
        <f>"TFC000000448"</f>
        <v>TFC000000448</v>
      </c>
      <c r="D550" s="3" t="str">
        <f>"F800-20-0481-(AR 1.8)"</f>
        <v>F800-20-0481-(AR 1.8)</v>
      </c>
      <c r="E550" s="3" t="str">
        <f>"(The)bell rang"</f>
        <v>(The)bell rang</v>
      </c>
      <c r="F550" s="3" t="str">
        <f>"James E. Ransome"</f>
        <v>James E. Ransome</v>
      </c>
      <c r="G550" s="3" t="str">
        <f>"Atheneum Books for Young Readers"</f>
        <v>Atheneum Books for Young Readers</v>
      </c>
      <c r="H550" s="2" t="str">
        <f>"2019"</f>
        <v>2019</v>
      </c>
      <c r="I550" s="3" t="str">
        <f>""</f>
        <v/>
      </c>
    </row>
    <row r="551" spans="1:9" x14ac:dyDescent="0.3">
      <c r="A551" s="2">
        <v>550</v>
      </c>
      <c r="B551" s="4" t="s">
        <v>19</v>
      </c>
      <c r="C551" s="3" t="str">
        <f>"TFC000000449"</f>
        <v>TFC000000449</v>
      </c>
      <c r="D551" s="3" t="str">
        <f>"F800-20-0482-(AR 1.8)"</f>
        <v>F800-20-0482-(AR 1.8)</v>
      </c>
      <c r="E551" s="3" t="str">
        <f>"I wish I had a pet"</f>
        <v>I wish I had a pet</v>
      </c>
      <c r="F551" s="3" t="str">
        <f>"Maggie Rudy"</f>
        <v>Maggie Rudy</v>
      </c>
      <c r="G551" s="3" t="str">
        <f>"Beach Lane Books"</f>
        <v>Beach Lane Books</v>
      </c>
      <c r="H551" s="2" t="str">
        <f>"2014"</f>
        <v>2014</v>
      </c>
      <c r="I551" s="3" t="str">
        <f>""</f>
        <v/>
      </c>
    </row>
    <row r="552" spans="1:9" x14ac:dyDescent="0.3">
      <c r="A552" s="2">
        <v>551</v>
      </c>
      <c r="B552" s="4" t="s">
        <v>19</v>
      </c>
      <c r="C552" s="3" t="str">
        <f>"TFC000000450"</f>
        <v>TFC000000450</v>
      </c>
      <c r="D552" s="3" t="str">
        <f>"F800-20-0483-(AR 1.8)"</f>
        <v>F800-20-0483-(AR 1.8)</v>
      </c>
      <c r="E552" s="3" t="str">
        <f>"Good night, little blue truck"</f>
        <v>Good night, little blue truck</v>
      </c>
      <c r="F552" s="3" t="str">
        <f>"Alice Schertle ; illustrated in the style of Jill McElmurry by John Joseph"</f>
        <v>Alice Schertle ; illustrated in the style of Jill McElmurry by John Joseph</v>
      </c>
      <c r="G552" s="3" t="str">
        <f>"Houghton Mifflin Harcourt"</f>
        <v>Houghton Mifflin Harcourt</v>
      </c>
      <c r="H552" s="2" t="str">
        <f>"2019"</f>
        <v>2019</v>
      </c>
      <c r="I552" s="3" t="str">
        <f>""</f>
        <v/>
      </c>
    </row>
    <row r="553" spans="1:9" x14ac:dyDescent="0.3">
      <c r="A553" s="2">
        <v>552</v>
      </c>
      <c r="B553" s="4" t="s">
        <v>19</v>
      </c>
      <c r="C553" s="3" t="str">
        <f>"TFC000000453"</f>
        <v>TFC000000453</v>
      </c>
      <c r="D553" s="3" t="str">
        <f>"F800-20-0486-(AR 1.8)"</f>
        <v>F800-20-0486-(AR 1.8)</v>
      </c>
      <c r="E553" s="3" t="str">
        <f>"Me on the map"</f>
        <v>Me on the map</v>
      </c>
      <c r="F553" s="3" t="str">
        <f>"by Joan Sweeney ; illustrated by Qin Leng"</f>
        <v>by Joan Sweeney ; illustrated by Qin Leng</v>
      </c>
      <c r="G553" s="3" t="str">
        <f>"Dragonfly Books"</f>
        <v>Dragonfly Books</v>
      </c>
      <c r="H553" s="2" t="str">
        <f>"2018"</f>
        <v>2018</v>
      </c>
      <c r="I553" s="3" t="str">
        <f>""</f>
        <v/>
      </c>
    </row>
    <row r="554" spans="1:9" x14ac:dyDescent="0.3">
      <c r="A554" s="2">
        <v>553</v>
      </c>
      <c r="B554" s="4" t="s">
        <v>19</v>
      </c>
      <c r="C554" s="3" t="str">
        <f>"TFC000000454"</f>
        <v>TFC000000454</v>
      </c>
      <c r="D554" s="3" t="str">
        <f>"F800-20-0487-(AR 1.8)"</f>
        <v>F800-20-0487-(AR 1.8)</v>
      </c>
      <c r="E554" s="3" t="str">
        <f>"Bear feels sick"</f>
        <v>Bear feels sick</v>
      </c>
      <c r="F554" s="3" t="str">
        <f>"by Karma Wilson."</f>
        <v>by Karma Wilson.</v>
      </c>
      <c r="G554" s="3" t="str">
        <f>"Recorded Books"</f>
        <v>Recorded Books</v>
      </c>
      <c r="H554" s="2" t="str">
        <f>"2007"</f>
        <v>2007</v>
      </c>
      <c r="I554" s="3" t="str">
        <f>""</f>
        <v/>
      </c>
    </row>
    <row r="555" spans="1:9" x14ac:dyDescent="0.3">
      <c r="A555" s="2">
        <v>554</v>
      </c>
      <c r="B555" s="4" t="s">
        <v>19</v>
      </c>
      <c r="C555" s="3" t="str">
        <f>"TFC000000455"</f>
        <v>TFC000000455</v>
      </c>
      <c r="D555" s="3" t="str">
        <f>"F800-20-0488-(AR 1.8)"</f>
        <v>F800-20-0488-(AR 1.8)</v>
      </c>
      <c r="E555" s="3" t="str">
        <f>"My teacher for president"</f>
        <v>My teacher for president</v>
      </c>
      <c r="F555" s="3" t="str">
        <f>"Kay Winters ; illustrated by Denise Brunkus"</f>
        <v>Kay Winters ; illustrated by Denise Brunkus</v>
      </c>
      <c r="G555" s="3" t="str">
        <f>"Puffin Books"</f>
        <v>Puffin Books</v>
      </c>
      <c r="H555" s="2" t="str">
        <f>"2008"</f>
        <v>2008</v>
      </c>
      <c r="I555" s="3" t="str">
        <f>""</f>
        <v/>
      </c>
    </row>
    <row r="556" spans="1:9" x14ac:dyDescent="0.3">
      <c r="A556" s="2">
        <v>555</v>
      </c>
      <c r="B556" s="4" t="s">
        <v>19</v>
      </c>
      <c r="C556" s="3" t="str">
        <f>"TFC000002826"</f>
        <v>TFC000002826</v>
      </c>
      <c r="D556" s="3" t="str">
        <f>"F800-20-0489-(AR 1.8)"</f>
        <v>F800-20-0489-(AR 1.8)</v>
      </c>
      <c r="E556" s="3" t="str">
        <f>"Nana's Place"</f>
        <v>Nana's Place</v>
      </c>
      <c r="F556" s="3" t="str">
        <f>"written by Akimi Gibson ; illustrated by Karen Meyer"</f>
        <v>written by Akimi Gibson ; illustrated by Karen Meyer</v>
      </c>
      <c r="G556" s="3" t="str">
        <f>"Scholastic"</f>
        <v>Scholastic</v>
      </c>
      <c r="H556" s="2" t="str">
        <f>"1994"</f>
        <v>1994</v>
      </c>
      <c r="I556" s="3" t="str">
        <f>""</f>
        <v/>
      </c>
    </row>
    <row r="557" spans="1:9" x14ac:dyDescent="0.3">
      <c r="A557" s="2">
        <v>556</v>
      </c>
      <c r="B557" s="4" t="s">
        <v>19</v>
      </c>
      <c r="C557" s="3" t="str">
        <f>"TFC000002827"</f>
        <v>TFC000002827</v>
      </c>
      <c r="D557" s="3" t="str">
        <f>"F800-20-0490-(AR 1.8)"</f>
        <v>F800-20-0490-(AR 1.8)</v>
      </c>
      <c r="E557" s="3" t="str">
        <f>"On my way to buy eggs"</f>
        <v>On my way to buy eggs</v>
      </c>
      <c r="F557" s="3" t="str">
        <f>"written and illustrated by Chic-Yuan Chen"</f>
        <v>written and illustrated by Chic-Yuan Chen</v>
      </c>
      <c r="G557" s="3" t="str">
        <f>"Scholastic"</f>
        <v>Scholastic</v>
      </c>
      <c r="H557" s="2" t="str">
        <f>"2001"</f>
        <v>2001</v>
      </c>
      <c r="I557" s="3" t="str">
        <f>""</f>
        <v/>
      </c>
    </row>
    <row r="558" spans="1:9" x14ac:dyDescent="0.3">
      <c r="A558" s="2">
        <v>557</v>
      </c>
      <c r="B558" s="4" t="s">
        <v>19</v>
      </c>
      <c r="C558" s="3" t="str">
        <f>"TFC000003074"</f>
        <v>TFC000003074</v>
      </c>
      <c r="D558" s="3" t="str">
        <f>"F800-20-0491-(AR 1.8)"</f>
        <v>F800-20-0491-(AR 1.8)</v>
      </c>
      <c r="E558" s="3" t="str">
        <f>"Beach day"</f>
        <v>Beach day</v>
      </c>
      <c r="F558" s="3" t="str">
        <f>"by Karen Roosa ; illustrated by Maggie Smith"</f>
        <v>by Karen Roosa ; illustrated by Maggie Smith</v>
      </c>
      <c r="G558" s="3" t="str">
        <f>"Clarion Books"</f>
        <v>Clarion Books</v>
      </c>
      <c r="H558" s="2" t="str">
        <f>"2001"</f>
        <v>2001</v>
      </c>
      <c r="I558" s="3" t="str">
        <f>""</f>
        <v/>
      </c>
    </row>
    <row r="559" spans="1:9" x14ac:dyDescent="0.3">
      <c r="A559" s="2">
        <v>558</v>
      </c>
      <c r="B559" s="4" t="s">
        <v>19</v>
      </c>
      <c r="C559" s="3" t="str">
        <f>"TFC000003159"</f>
        <v>TFC000003159</v>
      </c>
      <c r="D559" s="3" t="str">
        <f>"F800-20-0492-(AR 1.8)"</f>
        <v>F800-20-0492-(AR 1.8)</v>
      </c>
      <c r="E559" s="3" t="str">
        <f>"Clifford's halloween"</f>
        <v>Clifford's halloween</v>
      </c>
      <c r="F559" s="3" t="str">
        <f>"story and pictures by Norman Bridwell"</f>
        <v>story and pictures by Norman Bridwell</v>
      </c>
      <c r="G559" s="3" t="str">
        <f>"Scholastic"</f>
        <v>Scholastic</v>
      </c>
      <c r="H559" s="2" t="str">
        <f>"2017"</f>
        <v>2017</v>
      </c>
      <c r="I559" s="3" t="str">
        <f>""</f>
        <v/>
      </c>
    </row>
    <row r="560" spans="1:9" x14ac:dyDescent="0.3">
      <c r="A560" s="2">
        <v>559</v>
      </c>
      <c r="B560" s="4" t="s">
        <v>19</v>
      </c>
      <c r="C560" s="3" t="str">
        <f>"TFC000003288"</f>
        <v>TFC000003288</v>
      </c>
      <c r="D560" s="3" t="str">
        <f>"F800-21-0086-(AR 1.8)"</f>
        <v>F800-21-0086-(AR 1.8)</v>
      </c>
      <c r="E560" s="3" t="str">
        <f>"(The)best pet?"</f>
        <v>(The)best pet?</v>
      </c>
      <c r="F560" s="3" t="str">
        <f>"by Fran Manushkin ; illustrated by Tammy Lyon"</f>
        <v>by Fran Manushkin ; illustrated by Tammy Lyon</v>
      </c>
      <c r="G560" s="3" t="str">
        <f>"Picture Window Books"</f>
        <v>Picture Window Books</v>
      </c>
      <c r="H560" s="2" t="str">
        <f>"2021"</f>
        <v>2021</v>
      </c>
      <c r="I560" s="3" t="str">
        <f>""</f>
        <v/>
      </c>
    </row>
    <row r="561" spans="1:9" x14ac:dyDescent="0.3">
      <c r="A561" s="2">
        <v>560</v>
      </c>
      <c r="B561" s="4" t="s">
        <v>19</v>
      </c>
      <c r="C561" s="3" t="str">
        <f>"TFC000003289"</f>
        <v>TFC000003289</v>
      </c>
      <c r="D561" s="3" t="str">
        <f>"F800-21-0087-(AR 1.8)"</f>
        <v>F800-21-0087-(AR 1.8)</v>
      </c>
      <c r="E561" s="3" t="str">
        <f>"(The)box turtle"</f>
        <v>(The)box turtle</v>
      </c>
      <c r="F561" s="3" t="str">
        <f>"by Vanessa Roeder"</f>
        <v>by Vanessa Roeder</v>
      </c>
      <c r="G561" s="3" t="str">
        <f>"Dial Books for Young Readers"</f>
        <v>Dial Books for Young Readers</v>
      </c>
      <c r="H561" s="2" t="str">
        <f>"2020"</f>
        <v>2020</v>
      </c>
      <c r="I561" s="3" t="str">
        <f>""</f>
        <v/>
      </c>
    </row>
    <row r="562" spans="1:9" x14ac:dyDescent="0.3">
      <c r="A562" s="2">
        <v>561</v>
      </c>
      <c r="B562" s="4" t="s">
        <v>19</v>
      </c>
      <c r="C562" s="3" t="str">
        <f>"TFC000003290"</f>
        <v>TFC000003290</v>
      </c>
      <c r="D562" s="3" t="str">
        <f>"F800-21-0088-(AR 1.8)"</f>
        <v>F800-21-0088-(AR 1.8)</v>
      </c>
      <c r="E562" s="3" t="str">
        <f>"Let's bee thankful"</f>
        <v>Let's bee thankful</v>
      </c>
      <c r="F562" s="3" t="str">
        <f>"by Ross Burach"</f>
        <v>by Ross Burach</v>
      </c>
      <c r="G562" s="3" t="str">
        <f>"Scholastic"</f>
        <v>Scholastic</v>
      </c>
      <c r="H562" s="2" t="str">
        <f>"2020"</f>
        <v>2020</v>
      </c>
      <c r="I562" s="3" t="str">
        <f>""</f>
        <v/>
      </c>
    </row>
    <row r="563" spans="1:9" x14ac:dyDescent="0.3">
      <c r="A563" s="2">
        <v>562</v>
      </c>
      <c r="B563" s="4" t="s">
        <v>19</v>
      </c>
      <c r="C563" s="3" t="str">
        <f>"TFC000003291"</f>
        <v>TFC000003291</v>
      </c>
      <c r="D563" s="3" t="str">
        <f>"F400-21-085-(AR 1.8)"</f>
        <v>F400-21-085-(AR 1.8)</v>
      </c>
      <c r="E563" s="3" t="str">
        <f>"Lionfish"</f>
        <v>Lionfish</v>
      </c>
      <c r="F563" s="3" t="str">
        <f>"by Julie Murray"</f>
        <v>by Julie Murray</v>
      </c>
      <c r="G563" s="3" t="str">
        <f>"Dash!"</f>
        <v>Dash!</v>
      </c>
      <c r="H563" s="2" t="str">
        <f>"2021"</f>
        <v>2021</v>
      </c>
      <c r="I563" s="3" t="str">
        <f>""</f>
        <v/>
      </c>
    </row>
    <row r="564" spans="1:9" x14ac:dyDescent="0.3">
      <c r="A564" s="2">
        <v>563</v>
      </c>
      <c r="B564" s="4" t="s">
        <v>19</v>
      </c>
      <c r="C564" s="3" t="str">
        <f>"TFC000003292"</f>
        <v>TFC000003292</v>
      </c>
      <c r="D564" s="3" t="str">
        <f>"F800-21-0089-(AR 1.8)"</f>
        <v>F800-21-0089-(AR 1.8)</v>
      </c>
      <c r="E564" s="3" t="str">
        <f>"Inch by inch"</f>
        <v>Inch by inch</v>
      </c>
      <c r="F564" s="3" t="str">
        <f>"by Leo Lionni"</f>
        <v>by Leo Lionni</v>
      </c>
      <c r="G564" s="3" t="str">
        <f>"HarperCollins"</f>
        <v>HarperCollins</v>
      </c>
      <c r="H564" s="2" t="str">
        <f>"1960"</f>
        <v>1960</v>
      </c>
      <c r="I564" s="3" t="str">
        <f>""</f>
        <v/>
      </c>
    </row>
    <row r="565" spans="1:9" x14ac:dyDescent="0.3">
      <c r="A565" s="2">
        <v>564</v>
      </c>
      <c r="B565" s="4" t="s">
        <v>19</v>
      </c>
      <c r="C565" s="3" t="str">
        <f>"TFC000003534"</f>
        <v>TFC000003534</v>
      </c>
      <c r="D565" s="3" t="str">
        <f>"F800-21-0090-(AR 1.8)"</f>
        <v>F800-21-0090-(AR 1.8)</v>
      </c>
      <c r="E565" s="3" t="str">
        <f>"Noodleheads find something fishy"</f>
        <v>Noodleheads find something fishy</v>
      </c>
      <c r="F565" s="3" t="str">
        <f>"by Tedd Arnold, Martha Hamilton, Mitch Weiss ; illustrated by Tedd Arnold"</f>
        <v>by Tedd Arnold, Martha Hamilton, Mitch Weiss ; illustrated by Tedd Arnold</v>
      </c>
      <c r="G565" s="3" t="str">
        <f>"Holiday House"</f>
        <v>Holiday House</v>
      </c>
      <c r="H565" s="2" t="str">
        <f>"2018"</f>
        <v>2018</v>
      </c>
      <c r="I565" s="3" t="str">
        <f>""</f>
        <v/>
      </c>
    </row>
    <row r="566" spans="1:9" x14ac:dyDescent="0.3">
      <c r="A566" s="2">
        <v>565</v>
      </c>
      <c r="B566" s="4" t="s">
        <v>19</v>
      </c>
      <c r="C566" s="3" t="str">
        <f>"TFC000003690"</f>
        <v>TFC000003690</v>
      </c>
      <c r="D566" s="3" t="str">
        <f>"F800-21-0091-(AR 1.8)"</f>
        <v>F800-21-0091-(AR 1.8)</v>
      </c>
      <c r="E566" s="3" t="str">
        <f>"Puppy love"</f>
        <v>Puppy love</v>
      </c>
      <c r="F566" s="3" t="str">
        <f>"by Jennifer L. Holm, Matthew Holm"</f>
        <v>by Jennifer L. Holm, Matthew Holm</v>
      </c>
      <c r="G566" s="3" t="str">
        <f>"Random House"</f>
        <v>Random House</v>
      </c>
      <c r="H566" s="2" t="str">
        <f>"2007"</f>
        <v>2007</v>
      </c>
      <c r="I566" s="3" t="str">
        <f>""</f>
        <v/>
      </c>
    </row>
    <row r="567" spans="1:9" x14ac:dyDescent="0.3">
      <c r="A567" s="2">
        <v>566</v>
      </c>
      <c r="B567" s="4" t="s">
        <v>19</v>
      </c>
      <c r="C567" s="3" t="str">
        <f>"TFC000003712"</f>
        <v>TFC000003712</v>
      </c>
      <c r="D567" s="3" t="str">
        <f>"F800-21-0092-(AR 1.8)"</f>
        <v>F800-21-0092-(AR 1.8)</v>
      </c>
      <c r="E567" s="3" t="str">
        <f>"Noodleheads see the future"</f>
        <v>Noodleheads see the future</v>
      </c>
      <c r="F567" s="3" t="str">
        <f>"by Tedd Arnold, Martha Hamilton and Mitch Weiss ; illustrated by Tedd Arnold"</f>
        <v>by Tedd Arnold, Martha Hamilton and Mitch Weiss ; illustrated by Tedd Arnold</v>
      </c>
      <c r="G567" s="3" t="str">
        <f>"Holiday House"</f>
        <v>Holiday House</v>
      </c>
      <c r="H567" s="2" t="str">
        <f>"2018"</f>
        <v>2018</v>
      </c>
      <c r="I567" s="3" t="str">
        <f>""</f>
        <v/>
      </c>
    </row>
    <row r="568" spans="1:9" x14ac:dyDescent="0.3">
      <c r="A568" s="2">
        <v>567</v>
      </c>
      <c r="B568" s="4" t="s">
        <v>19</v>
      </c>
      <c r="C568" s="3" t="str">
        <f>"TFC000003909"</f>
        <v>TFC000003909</v>
      </c>
      <c r="D568" s="3" t="str">
        <f>"F800-21-0093-(AR 1.8)"</f>
        <v>F800-21-0093-(AR 1.8)</v>
      </c>
      <c r="E568" s="3" t="str">
        <f>"Don't feed the coos!"</f>
        <v>Don't feed the coos!</v>
      </c>
      <c r="F568" s="3" t="str">
        <f>"by Jonathan Stutzman, illustrated by Heather Fox"</f>
        <v>by Jonathan Stutzman, illustrated by Heather Fox</v>
      </c>
      <c r="G568" s="3" t="str">
        <f>"Henry Holt and Company"</f>
        <v>Henry Holt and Company</v>
      </c>
      <c r="H568" s="2" t="str">
        <f>"2020"</f>
        <v>2020</v>
      </c>
      <c r="I568" s="3" t="str">
        <f>""</f>
        <v/>
      </c>
    </row>
    <row r="569" spans="1:9" x14ac:dyDescent="0.3">
      <c r="A569" s="2">
        <v>568</v>
      </c>
      <c r="B569" s="4" t="s">
        <v>19</v>
      </c>
      <c r="C569" s="3" t="str">
        <f>"TFC000004383"</f>
        <v>TFC000004383</v>
      </c>
      <c r="D569" s="3" t="str">
        <f>"F800-22-0192-(AR 1.8)"</f>
        <v>F800-22-0192-(AR 1.8)</v>
      </c>
      <c r="E569" s="3" t="str">
        <f>"Hello, my name is Ruby"</f>
        <v>Hello, my name is Ruby</v>
      </c>
      <c r="F569" s="3" t="str">
        <f>"by Philip C. Stead"</f>
        <v>by Philip C. Stead</v>
      </c>
      <c r="G569" s="3" t="str">
        <f>"Roaring Brook Press"</f>
        <v>Roaring Brook Press</v>
      </c>
      <c r="H569" s="2" t="str">
        <f>"2013"</f>
        <v>2013</v>
      </c>
      <c r="I569" s="3" t="str">
        <f>""</f>
        <v/>
      </c>
    </row>
    <row r="570" spans="1:9" x14ac:dyDescent="0.3">
      <c r="A570" s="2">
        <v>569</v>
      </c>
      <c r="B570" s="4" t="s">
        <v>19</v>
      </c>
      <c r="C570" s="3" t="str">
        <f>"TFC000004384"</f>
        <v>TFC000004384</v>
      </c>
      <c r="D570" s="3" t="str">
        <f>"F800-22-0193-(AR 1.8)"</f>
        <v>F800-22-0193-(AR 1.8)</v>
      </c>
      <c r="E570" s="3" t="str">
        <f>"Cat knit"</f>
        <v>Cat knit</v>
      </c>
      <c r="F570" s="3" t="str">
        <f>"by Jacob Grant"</f>
        <v>by Jacob Grant</v>
      </c>
      <c r="G570" s="3" t="str">
        <f>"Feiwel and Friends"</f>
        <v>Feiwel and Friends</v>
      </c>
      <c r="H570" s="2" t="str">
        <f>"2016"</f>
        <v>2016</v>
      </c>
      <c r="I570" s="3" t="str">
        <f>""</f>
        <v/>
      </c>
    </row>
    <row r="571" spans="1:9" x14ac:dyDescent="0.3">
      <c r="A571" s="2">
        <v>570</v>
      </c>
      <c r="B571" s="4" t="s">
        <v>19</v>
      </c>
      <c r="C571" s="3" t="str">
        <f>"TFC000004385"</f>
        <v>TFC000004385</v>
      </c>
      <c r="D571" s="3" t="str">
        <f>"F800-22-0194-(AR 1.8)"</f>
        <v>F800-22-0194-(AR 1.8)</v>
      </c>
      <c r="E571" s="3" t="str">
        <f>"Everyone Loves Bacon"</f>
        <v>Everyone Loves Bacon</v>
      </c>
      <c r="F571" s="3" t="str">
        <f>"words by Kelly DiPucchio, pictures by Eric Wight"</f>
        <v>words by Kelly DiPucchio, pictures by Eric Wight</v>
      </c>
      <c r="G571" s="3" t="str">
        <f>"Farrar Straus Giroux Books for Young Readers"</f>
        <v>Farrar Straus Giroux Books for Young Readers</v>
      </c>
      <c r="H571" s="2" t="str">
        <f>"2015"</f>
        <v>2015</v>
      </c>
      <c r="I571" s="3" t="str">
        <f>""</f>
        <v/>
      </c>
    </row>
    <row r="572" spans="1:9" x14ac:dyDescent="0.3">
      <c r="A572" s="2">
        <v>571</v>
      </c>
      <c r="B572" s="4" t="s">
        <v>19</v>
      </c>
      <c r="C572" s="3" t="str">
        <f>"TFC000004386"</f>
        <v>TFC000004386</v>
      </c>
      <c r="D572" s="3" t="str">
        <f>"F500-22-0195-(AR 1.8)"</f>
        <v>F500-22-0195-(AR 1.8)</v>
      </c>
      <c r="E572" s="3" t="str">
        <f>"Let's Make Butter"</f>
        <v>Let's Make Butter</v>
      </c>
      <c r="F572" s="3" t="str">
        <f>"by Eleanor Christian, Lyzz Roth-Singer"</f>
        <v>by Eleanor Christian, Lyzz Roth-Singer</v>
      </c>
      <c r="G572" s="3" t="str">
        <f>"Yellow Umbrella Books"</f>
        <v>Yellow Umbrella Books</v>
      </c>
      <c r="H572" s="2" t="str">
        <f>"2000"</f>
        <v>2000</v>
      </c>
      <c r="I572" s="3" t="str">
        <f>""</f>
        <v/>
      </c>
    </row>
    <row r="573" spans="1:9" x14ac:dyDescent="0.3">
      <c r="A573" s="2">
        <v>572</v>
      </c>
      <c r="B573" s="4" t="s">
        <v>19</v>
      </c>
      <c r="C573" s="3" t="str">
        <f>"TFC000004359"</f>
        <v>TFC000004359</v>
      </c>
      <c r="D573" s="3" t="str">
        <f>"F800-22-0168-(AR1.8)"</f>
        <v>F800-22-0168-(AR1.8)</v>
      </c>
      <c r="E573" s="3" t="str">
        <f>"Giraffe in the bath and other tales"</f>
        <v>Giraffe in the bath and other tales</v>
      </c>
      <c r="F573" s="3" t="str">
        <f>"by Russell Punter, Lesley Sims, illustrated by David Semple"</f>
        <v>by Russell Punter, Lesley Sims, illustrated by David Semple</v>
      </c>
      <c r="G573" s="3" t="str">
        <f>"Usborne"</f>
        <v>Usborne</v>
      </c>
      <c r="H573" s="2" t="str">
        <f>"2018"</f>
        <v>2018</v>
      </c>
      <c r="I573" s="2" t="s">
        <v>2</v>
      </c>
    </row>
    <row r="574" spans="1:9" x14ac:dyDescent="0.3">
      <c r="A574" s="2">
        <v>573</v>
      </c>
      <c r="B574" s="4" t="s">
        <v>19</v>
      </c>
      <c r="C574" s="3" t="str">
        <f>"TFC000004323"</f>
        <v>TFC000004323</v>
      </c>
      <c r="D574" s="3" t="str">
        <f>"F800-22-0132-(AR1.8)"</f>
        <v>F800-22-0132-(AR1.8)</v>
      </c>
      <c r="E574" s="3" t="str">
        <f>"Don't feed the coos!"</f>
        <v>Don't feed the coos!</v>
      </c>
      <c r="F574" s="3" t="str">
        <f>"by Jonathan Stutzman, illustrated by Heather Fox"</f>
        <v>by Jonathan Stutzman, illustrated by Heather Fox</v>
      </c>
      <c r="G574" s="3" t="str">
        <f>"Puffin"</f>
        <v>Puffin</v>
      </c>
      <c r="H574" s="2" t="str">
        <f>"2021"</f>
        <v>2021</v>
      </c>
      <c r="I574" s="3" t="str">
        <f>""</f>
        <v/>
      </c>
    </row>
    <row r="575" spans="1:9" x14ac:dyDescent="0.3">
      <c r="A575" s="2">
        <v>574</v>
      </c>
      <c r="B575" s="4" t="s">
        <v>19</v>
      </c>
      <c r="C575" s="3" t="str">
        <f>"TFC000004651"</f>
        <v>TFC000004651</v>
      </c>
      <c r="D575" s="3" t="str">
        <f>"F800-22-0460-(AR1.8)"</f>
        <v>F800-22-0460-(AR1.8)</v>
      </c>
      <c r="E575" s="3" t="str">
        <f>"(The)Bad Seed Goes to the Library"</f>
        <v>(The)Bad Seed Goes to the Library</v>
      </c>
      <c r="F575" s="3" t="str">
        <f>"by Jory John, illustrated by Pete Oswald"</f>
        <v>by Jory John, illustrated by Pete Oswald</v>
      </c>
      <c r="G575" s="3" t="str">
        <f>"HarperCollins"</f>
        <v>HarperCollins</v>
      </c>
      <c r="H575" s="2" t="str">
        <f>"2022"</f>
        <v>2022</v>
      </c>
      <c r="I575" s="3" t="str">
        <f>""</f>
        <v/>
      </c>
    </row>
    <row r="576" spans="1:9" x14ac:dyDescent="0.3">
      <c r="A576" s="2">
        <v>575</v>
      </c>
      <c r="B576" s="4" t="s">
        <v>19</v>
      </c>
      <c r="C576" s="3" t="str">
        <f>"TFC000004652"</f>
        <v>TFC000004652</v>
      </c>
      <c r="D576" s="3" t="str">
        <f>"F700-22-0461-(AR1.8)"</f>
        <v>F700-22-0461-(AR1.8)</v>
      </c>
      <c r="E576" s="3" t="str">
        <f>"Encanto : La Familia Lo Es Todo"</f>
        <v>Encanto : La Familia Lo Es Todo</v>
      </c>
      <c r="F576" s="3" t="str">
        <f>"by Luz M. Mack, illustrated by Disney Storybook Art Team"</f>
        <v>by Luz M. Mack, illustrated by Disney Storybook Art Team</v>
      </c>
      <c r="G576" s="3" t="str">
        <f>"Random House Disney"</f>
        <v>Random House Disney</v>
      </c>
      <c r="H576" s="2" t="str">
        <f>"2022"</f>
        <v>2022</v>
      </c>
      <c r="I576" s="3" t="str">
        <f>""</f>
        <v/>
      </c>
    </row>
    <row r="577" spans="1:9" x14ac:dyDescent="0.3">
      <c r="A577" s="2">
        <v>576</v>
      </c>
      <c r="B577" s="4" t="s">
        <v>19</v>
      </c>
      <c r="C577" s="3" t="str">
        <f>"TFC000000427"</f>
        <v>TFC000000427</v>
      </c>
      <c r="D577" s="3" t="str">
        <f>"F800-20-0460-1(AR 1.8)"</f>
        <v>F800-20-0460-1(AR 1.8)</v>
      </c>
      <c r="E577" s="3" t="str">
        <f>"Amelia Bedelia goes camping"</f>
        <v>Amelia Bedelia goes camping</v>
      </c>
      <c r="F577" s="3" t="str">
        <f>"by Peggy Parish ; pictures by Lynn Sweat"</f>
        <v>by Peggy Parish ; pictures by Lynn Sweat</v>
      </c>
      <c r="G577" s="3" t="str">
        <f>"HarperCollins:Moonjin Media"</f>
        <v>HarperCollins:Moonjin Media</v>
      </c>
      <c r="H577" s="2" t="str">
        <f>"2003"</f>
        <v>2003</v>
      </c>
      <c r="I577" s="3" t="str">
        <f>""</f>
        <v/>
      </c>
    </row>
    <row r="578" spans="1:9" x14ac:dyDescent="0.3">
      <c r="A578" s="2">
        <v>577</v>
      </c>
      <c r="B578" s="4" t="s">
        <v>19</v>
      </c>
      <c r="C578" s="3" t="str">
        <f>"TFC000000451"</f>
        <v>TFC000000451</v>
      </c>
      <c r="D578" s="3" t="str">
        <f>"F800-20-0484-1(AR 1.8)"</f>
        <v>F800-20-0484-1(AR 1.8)</v>
      </c>
      <c r="E578" s="3" t="str">
        <f>"Splat the cat sings flat"</f>
        <v>Splat the cat sings flat</v>
      </c>
      <c r="F578" s="3" t="str">
        <f>"based on the bestselling books by Rob Scotton ; text by Chris Strathearn ; interior illustrations by Robert Eberz"</f>
        <v>based on the bestselling books by Rob Scotton ; text by Chris Strathearn ; interior illustrations by Robert Eberz</v>
      </c>
      <c r="G578" s="3" t="str">
        <f>"HarperTrophy"</f>
        <v>HarperTrophy</v>
      </c>
      <c r="H578" s="2" t="str">
        <f>"2014"</f>
        <v>2014</v>
      </c>
      <c r="I578" s="3" t="str">
        <f>""</f>
        <v/>
      </c>
    </row>
    <row r="579" spans="1:9" x14ac:dyDescent="0.3">
      <c r="A579" s="2">
        <v>578</v>
      </c>
      <c r="B579" s="4">
        <v>1.8</v>
      </c>
      <c r="C579" s="3" t="str">
        <f>"TFC000000452"</f>
        <v>TFC000000452</v>
      </c>
      <c r="D579" s="3" t="str">
        <f>"F800-20-0485-2(AR 1.8)"</f>
        <v>F800-20-0485-2(AR 1.8)</v>
      </c>
      <c r="E579" s="3" t="str">
        <f>"Splat the cat the name of the game"</f>
        <v>Splat the cat the name of the game</v>
      </c>
      <c r="F579" s="3" t="str">
        <f>"based on the bestselling books by Rob Scotton ; text by Amy Hsu Lin ; interior illustrations by Robert Eberz"</f>
        <v>based on the bestselling books by Rob Scotton ; text by Amy Hsu Lin ; interior illustrations by Robert Eberz</v>
      </c>
      <c r="G579" s="3" t="str">
        <f>"HarperTrophy"</f>
        <v>HarperTrophy</v>
      </c>
      <c r="H579" s="2" t="str">
        <f>"2012"</f>
        <v>2012</v>
      </c>
      <c r="I579" s="3" t="str">
        <f>""</f>
        <v/>
      </c>
    </row>
    <row r="580" spans="1:9" x14ac:dyDescent="0.3">
      <c r="A580" s="2">
        <v>579</v>
      </c>
      <c r="B580" s="4" t="s">
        <v>20</v>
      </c>
      <c r="C580" s="3" t="str">
        <f>"TFC000000456"</f>
        <v>TFC000000456</v>
      </c>
      <c r="D580" s="3" t="str">
        <f>"F400-20-0493-(AR 1.9)"</f>
        <v>F400-20-0493-(AR 1.9)</v>
      </c>
      <c r="E580" s="3" t="str">
        <f>"Bug dance"</f>
        <v>Bug dance</v>
      </c>
      <c r="F580" s="3" t="str">
        <f>"by Stuart J. Murphy ; illustrated by Christopher Santoro"</f>
        <v>by Stuart J. Murphy ; illustrated by Christopher Santoro</v>
      </c>
      <c r="G580" s="3" t="str">
        <f>"HarperCollins Publishers"</f>
        <v>HarperCollins Publishers</v>
      </c>
      <c r="H580" s="2" t="str">
        <f>"2002"</f>
        <v>2002</v>
      </c>
      <c r="I580" s="3" t="str">
        <f>""</f>
        <v/>
      </c>
    </row>
    <row r="581" spans="1:9" x14ac:dyDescent="0.3">
      <c r="A581" s="2">
        <v>580</v>
      </c>
      <c r="B581" s="4" t="s">
        <v>20</v>
      </c>
      <c r="C581" s="3" t="str">
        <f>"TFC000000458"</f>
        <v>TFC000000458</v>
      </c>
      <c r="D581" s="3" t="str">
        <f>"F800-20-0495-(AR 1.9)"</f>
        <v>F800-20-0495-(AR 1.9)</v>
      </c>
      <c r="E581" s="3" t="str">
        <f>"(The)berenstain bears play t-ball"</f>
        <v>(The)berenstain bears play t-ball</v>
      </c>
      <c r="F581" s="3" t="str">
        <f>"by Stan Berenstain, Jan Berenstain"</f>
        <v>by Stan Berenstain, Jan Berenstain</v>
      </c>
      <c r="G581" s="3" t="str">
        <f>"HarperCollins Publishers"</f>
        <v>HarperCollins Publishers</v>
      </c>
      <c r="H581" s="2" t="str">
        <f>"2005"</f>
        <v>2005</v>
      </c>
      <c r="I581" s="3" t="str">
        <f>""</f>
        <v/>
      </c>
    </row>
    <row r="582" spans="1:9" x14ac:dyDescent="0.3">
      <c r="A582" s="2">
        <v>581</v>
      </c>
      <c r="B582" s="4" t="s">
        <v>20</v>
      </c>
      <c r="C582" s="3" t="str">
        <f>"TFC000000459"</f>
        <v>TFC000000459</v>
      </c>
      <c r="D582" s="3" t="str">
        <f>"F800-20-0496-(AR 1.9)"</f>
        <v>F800-20-0496-(AR 1.9)</v>
      </c>
      <c r="E582" s="3" t="str">
        <f>"Arthur's lost puppy"</f>
        <v>Arthur's lost puppy</v>
      </c>
      <c r="F582" s="3" t="str">
        <f>"by Marc Brown"</f>
        <v>by Marc Brown</v>
      </c>
      <c r="G582" s="3" t="str">
        <f>"Random House"</f>
        <v>Random House</v>
      </c>
      <c r="H582" s="2" t="str">
        <f>"2000"</f>
        <v>2000</v>
      </c>
      <c r="I582" s="3" t="str">
        <f>""</f>
        <v/>
      </c>
    </row>
    <row r="583" spans="1:9" x14ac:dyDescent="0.3">
      <c r="A583" s="2">
        <v>582</v>
      </c>
      <c r="B583" s="4" t="s">
        <v>20</v>
      </c>
      <c r="C583" s="3" t="str">
        <f>"TFC000000460"</f>
        <v>TFC000000460</v>
      </c>
      <c r="D583" s="3" t="str">
        <f>"F800-20-0497-(AR 1.9)"</f>
        <v>F800-20-0497-(AR 1.9)</v>
      </c>
      <c r="E583" s="3" t="str">
        <f>"(The)missing tooth"</f>
        <v>(The)missing tooth</v>
      </c>
      <c r="F583" s="3" t="str">
        <f>"by Joanna Cole ; illustrated by Marylin Hafner"</f>
        <v>by Joanna Cole ; illustrated by Marylin Hafner</v>
      </c>
      <c r="G583" s="3" t="str">
        <f>"Random House"</f>
        <v>Random House</v>
      </c>
      <c r="H583" s="2" t="str">
        <f>"1988"</f>
        <v>1988</v>
      </c>
      <c r="I583" s="3" t="str">
        <f>""</f>
        <v/>
      </c>
    </row>
    <row r="584" spans="1:9" x14ac:dyDescent="0.3">
      <c r="A584" s="2">
        <v>583</v>
      </c>
      <c r="B584" s="4" t="s">
        <v>20</v>
      </c>
      <c r="C584" s="3" t="str">
        <f>"TFC000000461"</f>
        <v>TFC000000461</v>
      </c>
      <c r="D584" s="3" t="str">
        <f>"F800-20-0498-(AR 1.9)"</f>
        <v>F800-20-0498-(AR 1.9)</v>
      </c>
      <c r="E584" s="3" t="str">
        <f>"Chester"</f>
        <v>Chester</v>
      </c>
      <c r="F584" s="3" t="str">
        <f>"story and pictures by Syd Hoff"</f>
        <v>story and pictures by Syd Hoff</v>
      </c>
      <c r="G584" s="3" t="str">
        <f>"HarperTrophy"</f>
        <v>HarperTrophy</v>
      </c>
      <c r="H584" s="2" t="str">
        <f>"1989"</f>
        <v>1989</v>
      </c>
      <c r="I584" s="3" t="str">
        <f>""</f>
        <v/>
      </c>
    </row>
    <row r="585" spans="1:9" x14ac:dyDescent="0.3">
      <c r="A585" s="2">
        <v>584</v>
      </c>
      <c r="B585" s="4" t="s">
        <v>20</v>
      </c>
      <c r="C585" s="3" t="str">
        <f>"TFC000000463"</f>
        <v>TFC000000463</v>
      </c>
      <c r="D585" s="3" t="str">
        <f>"F800-20-0500-(AR 1.9)"</f>
        <v>F800-20-0500-(AR 1.9)</v>
      </c>
      <c r="E585" s="3" t="str">
        <f>"(The)doorbell rang"</f>
        <v>(The)doorbell rang</v>
      </c>
      <c r="F585" s="3" t="str">
        <f>"by Pat Hutchins"</f>
        <v>by Pat Hutchins</v>
      </c>
      <c r="G585" s="3" t="str">
        <f>"Greenwillow Books"</f>
        <v>Greenwillow Books</v>
      </c>
      <c r="H585" s="2" t="str">
        <f>"1986"</f>
        <v>1986</v>
      </c>
      <c r="I585" s="3" t="str">
        <f>""</f>
        <v/>
      </c>
    </row>
    <row r="586" spans="1:9" x14ac:dyDescent="0.3">
      <c r="A586" s="2">
        <v>585</v>
      </c>
      <c r="B586" s="4" t="s">
        <v>20</v>
      </c>
      <c r="C586" s="3" t="str">
        <f>"TFC000000464"</f>
        <v>TFC000000464</v>
      </c>
      <c r="D586" s="3" t="str">
        <f>"F800-20-0501-(AR 1.9)"</f>
        <v>F800-20-0501-(AR 1.9)</v>
      </c>
      <c r="E586" s="3" t="str">
        <f>"Round trip"</f>
        <v>Round trip</v>
      </c>
      <c r="F586" s="3" t="str">
        <f>"Ann Jonas"</f>
        <v>Ann Jonas</v>
      </c>
      <c r="G586" s="3" t="str">
        <f>"Greenwillow Books"</f>
        <v>Greenwillow Books</v>
      </c>
      <c r="H586" s="2" t="str">
        <f>"1983"</f>
        <v>1983</v>
      </c>
      <c r="I586" s="3" t="str">
        <f>""</f>
        <v/>
      </c>
    </row>
    <row r="587" spans="1:9" x14ac:dyDescent="0.3">
      <c r="A587" s="2">
        <v>586</v>
      </c>
      <c r="B587" s="4" t="s">
        <v>20</v>
      </c>
      <c r="C587" s="3" t="str">
        <f>"TFC000000465"</f>
        <v>TFC000000465</v>
      </c>
      <c r="D587" s="3" t="str">
        <f>"F800-20-0502-(AR 1.9)"</f>
        <v>F800-20-0502-(AR 1.9)</v>
      </c>
      <c r="E587" s="3" t="str">
        <f>"(The)fat cat sat on the mat"</f>
        <v>(The)fat cat sat on the mat</v>
      </c>
      <c r="F587" s="3" t="str">
        <f>"written and illustrated by Nurit Karlin"</f>
        <v>written and illustrated by Nurit Karlin</v>
      </c>
      <c r="G587" s="3" t="str">
        <f>"HarperCollins Publishers"</f>
        <v>HarperCollins Publishers</v>
      </c>
      <c r="H587" s="2" t="str">
        <f>"1996"</f>
        <v>1996</v>
      </c>
      <c r="I587" s="3" t="str">
        <f>""</f>
        <v/>
      </c>
    </row>
    <row r="588" spans="1:9" x14ac:dyDescent="0.3">
      <c r="A588" s="2">
        <v>587</v>
      </c>
      <c r="B588" s="4" t="s">
        <v>20</v>
      </c>
      <c r="C588" s="3" t="str">
        <f>"TFC000000466"</f>
        <v>TFC000000466</v>
      </c>
      <c r="D588" s="3" t="str">
        <f>"F800-20-0503-(AR 1.9)"</f>
        <v>F800-20-0503-(AR 1.9)</v>
      </c>
      <c r="E588" s="3" t="str">
        <f>"(The)carrot seed"</f>
        <v>(The)carrot seed</v>
      </c>
      <c r="F588" s="3" t="str">
        <f>"story by Ruth Krauss ; pictures by Crockett Johnson"</f>
        <v>story by Ruth Krauss ; pictures by Crockett Johnson</v>
      </c>
      <c r="G588" s="3" t="str">
        <f>"HarperCollins Publishers"</f>
        <v>HarperCollins Publishers</v>
      </c>
      <c r="H588" s="2" t="str">
        <f>"1973"</f>
        <v>1973</v>
      </c>
      <c r="I588" s="3" t="str">
        <f>""</f>
        <v/>
      </c>
    </row>
    <row r="589" spans="1:9" x14ac:dyDescent="0.3">
      <c r="A589" s="2">
        <v>588</v>
      </c>
      <c r="B589" s="4" t="s">
        <v>20</v>
      </c>
      <c r="C589" s="3" t="str">
        <f>"TFC000000467"</f>
        <v>TFC000000467</v>
      </c>
      <c r="D589" s="3" t="str">
        <f>"F800-20-0504-(AR 1.9)"</f>
        <v>F800-20-0504-(AR 1.9)</v>
      </c>
      <c r="E589" s="3" t="str">
        <f>"(The)day of the bad haircut"</f>
        <v>(The)day of the bad haircut</v>
      </c>
      <c r="F589" s="3" t="str">
        <f>"by Eva Moore ; illustrated by Meredith Johnson"</f>
        <v>by Eva Moore ; illustrated by Meredith Johnson</v>
      </c>
      <c r="G589" s="3" t="str">
        <f>"Scholastic"</f>
        <v>Scholastic</v>
      </c>
      <c r="H589" s="2" t="str">
        <f>"1996"</f>
        <v>1996</v>
      </c>
      <c r="I589" s="3" t="str">
        <f>""</f>
        <v/>
      </c>
    </row>
    <row r="590" spans="1:9" x14ac:dyDescent="0.3">
      <c r="A590" s="2">
        <v>589</v>
      </c>
      <c r="B590" s="4" t="s">
        <v>20</v>
      </c>
      <c r="C590" s="3" t="str">
        <f>"TFC000000468"</f>
        <v>TFC000000468</v>
      </c>
      <c r="D590" s="3" t="str">
        <f>"F800-20-0505-(AR 1.9)"</f>
        <v>F800-20-0505-(AR 1.9)</v>
      </c>
      <c r="E590" s="3" t="str">
        <f>"Scruffy"</f>
        <v>Scruffy</v>
      </c>
      <c r="F590" s="3" t="str">
        <f>"by Peggy Parish ; pictures by Kelly Oechsli"</f>
        <v>by Peggy Parish ; pictures by Kelly Oechsli</v>
      </c>
      <c r="G590" s="3" t="str">
        <f>"HarperTrophy"</f>
        <v>HarperTrophy</v>
      </c>
      <c r="H590" s="2" t="str">
        <f>"1988"</f>
        <v>1988</v>
      </c>
      <c r="I590" s="3" t="str">
        <f>""</f>
        <v/>
      </c>
    </row>
    <row r="591" spans="1:9" x14ac:dyDescent="0.3">
      <c r="A591" s="2">
        <v>590</v>
      </c>
      <c r="B591" s="4" t="s">
        <v>20</v>
      </c>
      <c r="C591" s="3" t="str">
        <f>"TFC000000469"</f>
        <v>TFC000000469</v>
      </c>
      <c r="D591" s="3" t="str">
        <f>"F800-20-0506-(AR 1.9)"</f>
        <v>F800-20-0506-(AR 1.9)</v>
      </c>
      <c r="E591" s="3" t="str">
        <f>"Teach us, Amelia Bedelia"</f>
        <v>Teach us, Amelia Bedelia</v>
      </c>
      <c r="F591" s="3" t="str">
        <f>"by Peggy Parish ; pictures by Lynn Sweat"</f>
        <v>by Peggy Parish ; pictures by Lynn Sweat</v>
      </c>
      <c r="G591" s="3" t="str">
        <f>"HarperCollins"</f>
        <v>HarperCollins</v>
      </c>
      <c r="H591" s="2" t="str">
        <f>"1977"</f>
        <v>1977</v>
      </c>
      <c r="I591" s="3" t="str">
        <f>""</f>
        <v/>
      </c>
    </row>
    <row r="592" spans="1:9" x14ac:dyDescent="0.3">
      <c r="A592" s="2">
        <v>591</v>
      </c>
      <c r="B592" s="4" t="s">
        <v>20</v>
      </c>
      <c r="C592" s="3" t="str">
        <f>"TFC000000470"</f>
        <v>TFC000000470</v>
      </c>
      <c r="D592" s="3" t="str">
        <f>"F800-20-0507-(AR 1.9)"</f>
        <v>F800-20-0507-(AR 1.9)</v>
      </c>
      <c r="E592" s="3" t="str">
        <f>"Max's Chocolate Chicken"</f>
        <v>Max's Chocolate Chicken</v>
      </c>
      <c r="F592" s="3" t="str">
        <f>"Rosemary Wells"</f>
        <v>Rosemary Wells</v>
      </c>
      <c r="G592" s="3" t="str">
        <f>"Puffin books"</f>
        <v>Puffin books</v>
      </c>
      <c r="H592" s="2" t="str">
        <f>"2000"</f>
        <v>2000</v>
      </c>
      <c r="I592" s="3" t="str">
        <f>""</f>
        <v/>
      </c>
    </row>
    <row r="593" spans="1:9" x14ac:dyDescent="0.3">
      <c r="A593" s="2">
        <v>592</v>
      </c>
      <c r="B593" s="4" t="s">
        <v>20</v>
      </c>
      <c r="C593" s="3" t="str">
        <f>"TFC000000471"</f>
        <v>TFC000000471</v>
      </c>
      <c r="D593" s="3" t="str">
        <f>"F800-20-0508-(AR 1.9)"</f>
        <v>F800-20-0508-(AR 1.9)</v>
      </c>
      <c r="E593" s="3" t="str">
        <f>"Piggy pie po : 3 little stories"</f>
        <v>Piggy pie po : 3 little stories</v>
      </c>
      <c r="F593" s="3" t="str">
        <f>"written by Audrey Wood ; painted by Don Wood"</f>
        <v>written by Audrey Wood ; painted by Don Wood</v>
      </c>
      <c r="G593" s="3" t="str">
        <f>"Houghton Mifflin Harcourt"</f>
        <v>Houghton Mifflin Harcourt</v>
      </c>
      <c r="H593" s="2" t="str">
        <f>"2010"</f>
        <v>2010</v>
      </c>
      <c r="I593" s="3" t="str">
        <f>""</f>
        <v/>
      </c>
    </row>
    <row r="594" spans="1:9" x14ac:dyDescent="0.3">
      <c r="A594" s="2">
        <v>593</v>
      </c>
      <c r="B594" s="4" t="s">
        <v>20</v>
      </c>
      <c r="C594" s="3" t="str">
        <f>"TFC000000472"</f>
        <v>TFC000000472</v>
      </c>
      <c r="D594" s="3" t="str">
        <f>"F800-20-0509-(AR 1.9)"</f>
        <v>F800-20-0509-(AR 1.9)</v>
      </c>
      <c r="E594" s="3" t="str">
        <f>"Don't throw it to Mo!"</f>
        <v>Don't throw it to Mo!</v>
      </c>
      <c r="F594" s="3" t="str">
        <f>"by David A. Adler ; illustrated by Sam Ricks"</f>
        <v>by David A. Adler ; illustrated by Sam Ricks</v>
      </c>
      <c r="G594" s="3" t="str">
        <f>"Penguin Young Readers"</f>
        <v>Penguin Young Readers</v>
      </c>
      <c r="H594" s="2" t="str">
        <f>"2015"</f>
        <v>2015</v>
      </c>
      <c r="I594" s="3" t="str">
        <f>""</f>
        <v/>
      </c>
    </row>
    <row r="595" spans="1:9" x14ac:dyDescent="0.3">
      <c r="A595" s="2">
        <v>594</v>
      </c>
      <c r="B595" s="4" t="s">
        <v>20</v>
      </c>
      <c r="C595" s="3" t="str">
        <f>"TFC000000473"</f>
        <v>TFC000000473</v>
      </c>
      <c r="D595" s="3" t="str">
        <f>"F800-20-0510-(AR 1.9)"</f>
        <v>F800-20-0510-(AR 1.9)</v>
      </c>
      <c r="E595" s="3" t="str">
        <f>"I want a dog"</f>
        <v>I want a dog</v>
      </c>
      <c r="F595" s="3" t="str">
        <f>"Jon Agee"</f>
        <v>Jon Agee</v>
      </c>
      <c r="G595" s="3" t="str">
        <f>"Dial Books for Young Readers"</f>
        <v>Dial Books for Young Readers</v>
      </c>
      <c r="H595" s="2" t="str">
        <f>"2019"</f>
        <v>2019</v>
      </c>
      <c r="I595" s="3" t="str">
        <f>""</f>
        <v/>
      </c>
    </row>
    <row r="596" spans="1:9" x14ac:dyDescent="0.3">
      <c r="A596" s="2">
        <v>595</v>
      </c>
      <c r="B596" s="4" t="s">
        <v>20</v>
      </c>
      <c r="C596" s="3" t="str">
        <f>"TFC000000474"</f>
        <v>TFC000000474</v>
      </c>
      <c r="D596" s="3" t="str">
        <f>"F800-20-0511-(AR 1.9)"</f>
        <v>F800-20-0511-(AR 1.9)</v>
      </c>
      <c r="E596" s="3" t="str">
        <f>"(The)sun is my favorite star"</f>
        <v>(The)sun is my favorite star</v>
      </c>
      <c r="F596" s="3" t="str">
        <f>"Frank Asch"</f>
        <v>Frank Asch</v>
      </c>
      <c r="G596" s="3" t="str">
        <f>"Voyager Books"</f>
        <v>Voyager Books</v>
      </c>
      <c r="H596" s="2" t="str">
        <f>"2008"</f>
        <v>2008</v>
      </c>
      <c r="I596" s="3" t="str">
        <f>""</f>
        <v/>
      </c>
    </row>
    <row r="597" spans="1:9" x14ac:dyDescent="0.3">
      <c r="A597" s="2">
        <v>596</v>
      </c>
      <c r="B597" s="4" t="s">
        <v>20</v>
      </c>
      <c r="C597" s="3" t="str">
        <f>"TFC000000475"</f>
        <v>TFC000000475</v>
      </c>
      <c r="D597" s="3" t="str">
        <f>"F800-20-0512-(AR 1.9)"</f>
        <v>F800-20-0512-(AR 1.9)</v>
      </c>
      <c r="E597" s="3" t="str">
        <f>"Sam &amp; Dave dig a hole"</f>
        <v>Sam &amp; Dave dig a hole</v>
      </c>
      <c r="F597" s="3" t="str">
        <f>"Mac Barnett ; illustrated by Jon Klassen"</f>
        <v>Mac Barnett ; illustrated by Jon Klassen</v>
      </c>
      <c r="G597" s="3" t="str">
        <f>"Candlewick Press"</f>
        <v>Candlewick Press</v>
      </c>
      <c r="H597" s="2" t="str">
        <f>"2014"</f>
        <v>2014</v>
      </c>
      <c r="I597" s="3" t="str">
        <f>""</f>
        <v/>
      </c>
    </row>
    <row r="598" spans="1:9" x14ac:dyDescent="0.3">
      <c r="A598" s="2">
        <v>597</v>
      </c>
      <c r="B598" s="4" t="s">
        <v>20</v>
      </c>
      <c r="C598" s="3" t="str">
        <f>"TFC000000476"</f>
        <v>TFC000000476</v>
      </c>
      <c r="D598" s="3" t="str">
        <f>"F800-20-0513-(AR 1.9)"</f>
        <v>F800-20-0513-(AR 1.9)</v>
      </c>
      <c r="E598" s="3" t="str">
        <f>"(The)space walk"</f>
        <v>(The)space walk</v>
      </c>
      <c r="F598" s="3" t="str">
        <f>"by Brian Biggs"</f>
        <v>by Brian Biggs</v>
      </c>
      <c r="G598" s="3" t="str">
        <f>"Dial Books for Young Readers"</f>
        <v>Dial Books for Young Readers</v>
      </c>
      <c r="H598" s="2" t="str">
        <f>"2019"</f>
        <v>2019</v>
      </c>
      <c r="I598" s="3" t="str">
        <f>""</f>
        <v/>
      </c>
    </row>
    <row r="599" spans="1:9" x14ac:dyDescent="0.3">
      <c r="A599" s="2">
        <v>598</v>
      </c>
      <c r="B599" s="4" t="s">
        <v>20</v>
      </c>
      <c r="C599" s="3" t="str">
        <f>"TFC000000477"</f>
        <v>TFC000000477</v>
      </c>
      <c r="D599" s="3" t="str">
        <f>"F800-20-0514-(AR 1.9)"</f>
        <v>F800-20-0514-(AR 1.9)</v>
      </c>
      <c r="E599" s="3" t="str">
        <f>"Don't call me bear!"</f>
        <v>Don't call me bear!</v>
      </c>
      <c r="F599" s="3" t="str">
        <f>"Aaron Blabey"</f>
        <v>Aaron Blabey</v>
      </c>
      <c r="G599" s="3" t="str">
        <f>"Scholastic Press"</f>
        <v>Scholastic Press</v>
      </c>
      <c r="H599" s="2" t="str">
        <f>"2019"</f>
        <v>2019</v>
      </c>
      <c r="I599" s="3" t="str">
        <f>""</f>
        <v/>
      </c>
    </row>
    <row r="600" spans="1:9" x14ac:dyDescent="0.3">
      <c r="A600" s="2">
        <v>599</v>
      </c>
      <c r="B600" s="4" t="s">
        <v>20</v>
      </c>
      <c r="C600" s="3" t="str">
        <f>"TFC000000478"</f>
        <v>TFC000000478</v>
      </c>
      <c r="D600" s="3" t="str">
        <f>"F800-20-0515-(AR 1.9)"</f>
        <v>F800-20-0515-(AR 1.9)</v>
      </c>
      <c r="E600" s="3" t="str">
        <f>"(A)tiny family"</f>
        <v>(A)tiny family</v>
      </c>
      <c r="F600" s="3" t="str">
        <f>"by Norman Bridwell"</f>
        <v>by Norman Bridwell</v>
      </c>
      <c r="G600" s="3" t="str">
        <f>"Scholastic"</f>
        <v>Scholastic</v>
      </c>
      <c r="H600" s="2" t="str">
        <f>"2003"</f>
        <v>2003</v>
      </c>
      <c r="I600" s="3" t="str">
        <f>""</f>
        <v/>
      </c>
    </row>
    <row r="601" spans="1:9" x14ac:dyDescent="0.3">
      <c r="A601" s="2">
        <v>600</v>
      </c>
      <c r="B601" s="4" t="s">
        <v>20</v>
      </c>
      <c r="C601" s="3" t="str">
        <f>"TFC000000479"</f>
        <v>TFC000000479</v>
      </c>
      <c r="D601" s="3" t="str">
        <f>"F800-20-0516-(AR 1.9)"</f>
        <v>F800-20-0516-(AR 1.9)</v>
      </c>
      <c r="E601" s="3" t="str">
        <f>"No dogs allowed!"</f>
        <v>No dogs allowed!</v>
      </c>
      <c r="F601" s="3" t="str">
        <f>"words and pictures by Anne Davis"</f>
        <v>words and pictures by Anne Davis</v>
      </c>
      <c r="G601" s="3" t="str">
        <f>"Harper"</f>
        <v>Harper</v>
      </c>
      <c r="H601" s="2" t="str">
        <f>"2011"</f>
        <v>2011</v>
      </c>
      <c r="I601" s="3" t="str">
        <f>""</f>
        <v/>
      </c>
    </row>
    <row r="602" spans="1:9" x14ac:dyDescent="0.3">
      <c r="A602" s="2">
        <v>601</v>
      </c>
      <c r="B602" s="4" t="s">
        <v>20</v>
      </c>
      <c r="C602" s="3" t="str">
        <f>"TFC000000480"</f>
        <v>TFC000000480</v>
      </c>
      <c r="D602" s="3" t="str">
        <f>"F800-20-0517-(AR 1.9)"</f>
        <v>F800-20-0517-(AR 1.9)</v>
      </c>
      <c r="E602" s="3" t="str">
        <f>"Llama Llama mad at mama"</f>
        <v>Llama Llama mad at mama</v>
      </c>
      <c r="F602" s="3" t="str">
        <f>"by Anna Dewdney"</f>
        <v>by Anna Dewdney</v>
      </c>
      <c r="G602" s="3" t="str">
        <f>"Viking"</f>
        <v>Viking</v>
      </c>
      <c r="H602" s="2" t="str">
        <f>"2007"</f>
        <v>2007</v>
      </c>
      <c r="I602" s="3" t="str">
        <f>""</f>
        <v/>
      </c>
    </row>
    <row r="603" spans="1:9" x14ac:dyDescent="0.3">
      <c r="A603" s="2">
        <v>602</v>
      </c>
      <c r="B603" s="4" t="s">
        <v>20</v>
      </c>
      <c r="C603" s="3" t="str">
        <f>"TFC000000481"</f>
        <v>TFC000000481</v>
      </c>
      <c r="D603" s="3" t="str">
        <f>"F800-20-0518-(AR 1.9)"</f>
        <v>F800-20-0518-(AR 1.9)</v>
      </c>
      <c r="E603" s="3" t="str">
        <f>"Rap a tap tap : here's Bojangles - think of that!"</f>
        <v>Rap a tap tap : here's Bojangles - think of that!</v>
      </c>
      <c r="F603" s="3" t="str">
        <f>"Leo Dillon, Diane Dillon"</f>
        <v>Leo Dillon, Diane Dillon</v>
      </c>
      <c r="G603" s="3" t="str">
        <f>"Blue Sky Press"</f>
        <v>Blue Sky Press</v>
      </c>
      <c r="H603" s="2" t="str">
        <f>"2003"</f>
        <v>2003</v>
      </c>
      <c r="I603" s="3" t="str">
        <f>""</f>
        <v/>
      </c>
    </row>
    <row r="604" spans="1:9" x14ac:dyDescent="0.3">
      <c r="A604" s="2">
        <v>603</v>
      </c>
      <c r="B604" s="4" t="s">
        <v>20</v>
      </c>
      <c r="C604" s="3" t="str">
        <f>"TFC000000482"</f>
        <v>TFC000000482</v>
      </c>
      <c r="D604" s="3" t="str">
        <f>"F800-20-0519-(AR 1.9)"</f>
        <v>F800-20-0519-(AR 1.9)</v>
      </c>
      <c r="E604" s="3" t="str">
        <f>"There's a dragon in your book"</f>
        <v>There's a dragon in your book</v>
      </c>
      <c r="F604" s="3" t="str">
        <f>"Tom Fletcher ; illustrated by Greg Abbott"</f>
        <v>Tom Fletcher ; illustrated by Greg Abbott</v>
      </c>
      <c r="G604" s="3" t="str">
        <f>"Random House"</f>
        <v>Random House</v>
      </c>
      <c r="H604" s="2" t="str">
        <f>"2018"</f>
        <v>2018</v>
      </c>
      <c r="I604" s="3" t="str">
        <f>""</f>
        <v/>
      </c>
    </row>
    <row r="605" spans="1:9" x14ac:dyDescent="0.3">
      <c r="A605" s="2">
        <v>604</v>
      </c>
      <c r="B605" s="4" t="s">
        <v>20</v>
      </c>
      <c r="C605" s="3" t="str">
        <f>"TFC000000483"</f>
        <v>TFC000000483</v>
      </c>
      <c r="D605" s="3" t="str">
        <f>"F800-20-0520-(AR 1.9)"</f>
        <v>F800-20-0520-(AR 1.9)</v>
      </c>
      <c r="E605" s="3" t="str">
        <f>"Penny and her doll"</f>
        <v>Penny and her doll</v>
      </c>
      <c r="F605" s="3" t="str">
        <f>"Kevin Henkes"</f>
        <v>Kevin Henkes</v>
      </c>
      <c r="G605" s="3" t="str">
        <f>"Greenwillow Books"</f>
        <v>Greenwillow Books</v>
      </c>
      <c r="H605" s="2" t="str">
        <f>"2012"</f>
        <v>2012</v>
      </c>
      <c r="I605" s="3" t="str">
        <f>""</f>
        <v/>
      </c>
    </row>
    <row r="606" spans="1:9" x14ac:dyDescent="0.3">
      <c r="A606" s="2">
        <v>605</v>
      </c>
      <c r="B606" s="4" t="s">
        <v>20</v>
      </c>
      <c r="C606" s="3" t="str">
        <f>"TFC000000484"</f>
        <v>TFC000000484</v>
      </c>
      <c r="D606" s="3" t="str">
        <f>"F800-20-0521-(AR 1.9)"</f>
        <v>F800-20-0521-(AR 1.9)</v>
      </c>
      <c r="E606" s="3" t="str">
        <f>"Pinkalicious pinkie promise"</f>
        <v>Pinkalicious pinkie promise</v>
      </c>
      <c r="F606" s="3" t="str">
        <f>"by Victoria Kann"</f>
        <v>by Victoria Kann</v>
      </c>
      <c r="G606" s="3" t="str">
        <f>"HarperTrophy"</f>
        <v>HarperTrophy</v>
      </c>
      <c r="H606" s="2" t="str">
        <f>"2011"</f>
        <v>2011</v>
      </c>
      <c r="I606" s="3" t="str">
        <f>""</f>
        <v/>
      </c>
    </row>
    <row r="607" spans="1:9" x14ac:dyDescent="0.3">
      <c r="A607" s="2">
        <v>606</v>
      </c>
      <c r="B607" s="4" t="s">
        <v>20</v>
      </c>
      <c r="C607" s="3" t="str">
        <f>"TFC000000485"</f>
        <v>TFC000000485</v>
      </c>
      <c r="D607" s="3" t="str">
        <f>"F800-20-0522-(AR 1.9)"</f>
        <v>F800-20-0522-(AR 1.9)</v>
      </c>
      <c r="E607" s="3" t="str">
        <f>"Waiting"</f>
        <v>Waiting</v>
      </c>
      <c r="F607" s="3" t="str">
        <f>"Kevin Henkes"</f>
        <v>Kevin Henkes</v>
      </c>
      <c r="G607" s="3" t="str">
        <f>"Greenwillow Books"</f>
        <v>Greenwillow Books</v>
      </c>
      <c r="H607" s="2" t="str">
        <f>"2015"</f>
        <v>2015</v>
      </c>
      <c r="I607" s="3" t="str">
        <f>""</f>
        <v/>
      </c>
    </row>
    <row r="608" spans="1:9" x14ac:dyDescent="0.3">
      <c r="A608" s="2">
        <v>607</v>
      </c>
      <c r="B608" s="4" t="s">
        <v>20</v>
      </c>
      <c r="C608" s="3" t="str">
        <f>"TFC000000486"</f>
        <v>TFC000000486</v>
      </c>
      <c r="D608" s="3" t="str">
        <f>"F800-20-0523-(AR 1.9)"</f>
        <v>F800-20-0523-(AR 1.9)</v>
      </c>
      <c r="E608" s="3" t="str">
        <f>"Mary Clare likes to share : A math reader"</f>
        <v>Mary Clare likes to share : A math reader</v>
      </c>
      <c r="F608" s="3" t="str">
        <f>"by Joy Hulme ; illustrated by Lizzy Rockwell"</f>
        <v>by Joy Hulme ; illustrated by Lizzy Rockwell</v>
      </c>
      <c r="G608" s="3" t="str">
        <f>"Random House"</f>
        <v>Random House</v>
      </c>
      <c r="H608" s="2" t="str">
        <f>"2006"</f>
        <v>2006</v>
      </c>
      <c r="I608" s="3" t="str">
        <f>""</f>
        <v/>
      </c>
    </row>
    <row r="609" spans="1:9" x14ac:dyDescent="0.3">
      <c r="A609" s="2">
        <v>608</v>
      </c>
      <c r="B609" s="4" t="s">
        <v>20</v>
      </c>
      <c r="C609" s="3" t="str">
        <f>"TFC000000487"</f>
        <v>TFC000000487</v>
      </c>
      <c r="D609" s="3" t="str">
        <f>"F800-20-0524-(AR 1.9)"</f>
        <v>F800-20-0524-(AR 1.9)</v>
      </c>
      <c r="E609" s="3" t="str">
        <f>"Pinkalicious school rules!"</f>
        <v>Pinkalicious school rules!</v>
      </c>
      <c r="F609" s="3" t="str">
        <f>"by Victoria Kann"</f>
        <v>by Victoria Kann</v>
      </c>
      <c r="G609" s="3" t="str">
        <f>"Harper"</f>
        <v>Harper</v>
      </c>
      <c r="H609" s="2" t="str">
        <f>"2010"</f>
        <v>2010</v>
      </c>
      <c r="I609" s="3" t="str">
        <f>""</f>
        <v/>
      </c>
    </row>
    <row r="610" spans="1:9" x14ac:dyDescent="0.3">
      <c r="A610" s="2">
        <v>609</v>
      </c>
      <c r="B610" s="4" t="s">
        <v>20</v>
      </c>
      <c r="C610" s="3" t="str">
        <f>"TFC000000488"</f>
        <v>TFC000000488</v>
      </c>
      <c r="D610" s="3" t="str">
        <f>"F800-20-0525-(AR 1.9)"</f>
        <v>F800-20-0525-(AR 1.9)</v>
      </c>
      <c r="E610" s="3" t="str">
        <f>"Pinkalicious dragon to the rescue"</f>
        <v>Pinkalicious dragon to the rescue</v>
      </c>
      <c r="F610" s="3" t="str">
        <f>"by Victoria Kann"</f>
        <v>by Victoria Kann</v>
      </c>
      <c r="G610" s="3" t="str">
        <f>"Harper"</f>
        <v>Harper</v>
      </c>
      <c r="H610" s="2" t="str">
        <f>"2019"</f>
        <v>2019</v>
      </c>
      <c r="I610" s="3" t="str">
        <f>""</f>
        <v/>
      </c>
    </row>
    <row r="611" spans="1:9" x14ac:dyDescent="0.3">
      <c r="A611" s="2">
        <v>610</v>
      </c>
      <c r="B611" s="4" t="s">
        <v>20</v>
      </c>
      <c r="C611" s="3" t="str">
        <f>"TFC000000489"</f>
        <v>TFC000000489</v>
      </c>
      <c r="D611" s="3" t="str">
        <f>"F800-20-0526-(AR 1.9)"</f>
        <v>F800-20-0526-(AR 1.9)</v>
      </c>
      <c r="E611" s="3" t="str">
        <f>"(The)serious goose"</f>
        <v>(The)serious goose</v>
      </c>
      <c r="F611" s="3" t="str">
        <f>"written and illustrated by Jimmy Kimmel"</f>
        <v>written and illustrated by Jimmy Kimmel</v>
      </c>
      <c r="G611" s="3" t="str">
        <f>"Random House"</f>
        <v>Random House</v>
      </c>
      <c r="H611" s="2" t="str">
        <f>"2019"</f>
        <v>2019</v>
      </c>
      <c r="I611" s="3" t="str">
        <f>""</f>
        <v/>
      </c>
    </row>
    <row r="612" spans="1:9" x14ac:dyDescent="0.3">
      <c r="A612" s="2">
        <v>611</v>
      </c>
      <c r="B612" s="4" t="s">
        <v>20</v>
      </c>
      <c r="C612" s="3" t="str">
        <f>"TFC000000490"</f>
        <v>TFC000000490</v>
      </c>
      <c r="D612" s="3" t="str">
        <f>"F800-20-0527-(AR 1.9)"</f>
        <v>F800-20-0527-(AR 1.9)</v>
      </c>
      <c r="E612" s="3" t="str">
        <f>"Chicken on a broom"</f>
        <v>Chicken on a broom</v>
      </c>
      <c r="F612" s="3" t="str">
        <f>"by Adam Lehrhaupt ; pictures by Shahar Kober"</f>
        <v>by Adam Lehrhaupt ; pictures by Shahar Kober</v>
      </c>
      <c r="G612" s="3" t="str">
        <f>"Harper"</f>
        <v>Harper</v>
      </c>
      <c r="H612" s="2" t="str">
        <f>"2019"</f>
        <v>2019</v>
      </c>
      <c r="I612" s="3" t="str">
        <f>""</f>
        <v/>
      </c>
    </row>
    <row r="613" spans="1:9" x14ac:dyDescent="0.3">
      <c r="A613" s="2">
        <v>612</v>
      </c>
      <c r="B613" s="4" t="s">
        <v>20</v>
      </c>
      <c r="C613" s="3" t="str">
        <f>"TFC000000491"</f>
        <v>TFC000000491</v>
      </c>
      <c r="D613" s="3" t="str">
        <f>"F800-20-0528-(AR 1.9)"</f>
        <v>F800-20-0528-(AR 1.9)</v>
      </c>
      <c r="E613" s="3" t="str">
        <f>"Splat the cat : the rain is a pain"</f>
        <v>Splat the cat : the rain is a pain</v>
      </c>
      <c r="F613" s="3" t="str">
        <f>"text by Amy Hsu Lin ; interior illustrations by Robert Eberz"</f>
        <v>text by Amy Hsu Lin ; interior illustrations by Robert Eberz</v>
      </c>
      <c r="G613" s="3" t="str">
        <f>"Harper"</f>
        <v>Harper</v>
      </c>
      <c r="H613" s="2" t="str">
        <f>"2012"</f>
        <v>2012</v>
      </c>
      <c r="I613" s="3" t="str">
        <f>""</f>
        <v/>
      </c>
    </row>
    <row r="614" spans="1:9" x14ac:dyDescent="0.3">
      <c r="A614" s="2">
        <v>613</v>
      </c>
      <c r="B614" s="4" t="s">
        <v>20</v>
      </c>
      <c r="C614" s="3" t="str">
        <f>"TFC000000492"</f>
        <v>TFC000000492</v>
      </c>
      <c r="D614" s="3" t="str">
        <f>"F800-20-0529-(AR 1.9)"</f>
        <v>F800-20-0529-(AR 1.9)</v>
      </c>
      <c r="E614" s="3" t="str">
        <f>"Let's go, froggy!"</f>
        <v>Let's go, froggy!</v>
      </c>
      <c r="F614" s="3" t="str">
        <f>"by Jonathan London ; illustrated by Frank Remkiewicz"</f>
        <v>by Jonathan London ; illustrated by Frank Remkiewicz</v>
      </c>
      <c r="G614" s="3" t="str">
        <f>"Puffin Books"</f>
        <v>Puffin Books</v>
      </c>
      <c r="H614" s="2" t="str">
        <f>"1996"</f>
        <v>1996</v>
      </c>
      <c r="I614" s="3" t="str">
        <f>""</f>
        <v/>
      </c>
    </row>
    <row r="615" spans="1:9" x14ac:dyDescent="0.3">
      <c r="A615" s="2">
        <v>614</v>
      </c>
      <c r="B615" s="4" t="s">
        <v>20</v>
      </c>
      <c r="C615" s="3" t="str">
        <f>"TFC000000493"</f>
        <v>TFC000000493</v>
      </c>
      <c r="D615" s="3" t="str">
        <f>"F800-20-0530-(AR 1.9)"</f>
        <v>F800-20-0530-(AR 1.9)</v>
      </c>
      <c r="E615" s="3" t="str">
        <f>"Nina, Nina ballerina"</f>
        <v>Nina, Nina ballerina</v>
      </c>
      <c r="F615" s="3" t="str">
        <f>"by Jane O'Connor ; illustrated by DyAnne DiSalvo"</f>
        <v>by Jane O'Connor ; illustrated by DyAnne DiSalvo</v>
      </c>
      <c r="G615" s="3" t="str">
        <f>"Penguin Young Readers"</f>
        <v>Penguin Young Readers</v>
      </c>
      <c r="H615" s="2" t="str">
        <f>"2013"</f>
        <v>2013</v>
      </c>
      <c r="I615" s="3" t="str">
        <f>""</f>
        <v/>
      </c>
    </row>
    <row r="616" spans="1:9" x14ac:dyDescent="0.3">
      <c r="A616" s="2">
        <v>615</v>
      </c>
      <c r="B616" s="4" t="s">
        <v>20</v>
      </c>
      <c r="C616" s="3" t="str">
        <f>"TFC000000494"</f>
        <v>TFC000000494</v>
      </c>
      <c r="D616" s="3" t="str">
        <f>"F800-20-0531-(AR 1.9)"</f>
        <v>F800-20-0531-(AR 1.9)</v>
      </c>
      <c r="E616" s="3" t="str">
        <f>"(The)case of the disappearing doll"</f>
        <v>(The)case of the disappearing doll</v>
      </c>
      <c r="F616" s="3" t="str">
        <f>"adapted by Nancy Parent ; based on the episode by Laurie Israel ; illustrations by the Disney Storybook Art Team"</f>
        <v>adapted by Nancy Parent ; based on the episode by Laurie Israel ; illustrations by the Disney Storybook Art Team</v>
      </c>
      <c r="G616" s="3" t="str">
        <f>"Harper"</f>
        <v>Harper</v>
      </c>
      <c r="H616" s="2" t="str">
        <f>"2019"</f>
        <v>2019</v>
      </c>
      <c r="I616" s="3" t="str">
        <f>""</f>
        <v/>
      </c>
    </row>
    <row r="617" spans="1:9" x14ac:dyDescent="0.3">
      <c r="A617" s="2">
        <v>616</v>
      </c>
      <c r="B617" s="4" t="s">
        <v>20</v>
      </c>
      <c r="C617" s="3" t="str">
        <f>"TFC000000495"</f>
        <v>TFC000000495</v>
      </c>
      <c r="D617" s="3" t="str">
        <f>"F800-20-0532-(AR 1.9)"</f>
        <v>F800-20-0532-(AR 1.9)</v>
      </c>
      <c r="E617" s="3" t="str">
        <f>"Curious George roller coaster"</f>
        <v>Curious George roller coaster</v>
      </c>
      <c r="F617" s="3" t="str">
        <f>"adaptation by Monica Perez ; based on the TV series teleplay written by Lazar Saric"</f>
        <v>adaptation by Monica Perez ; based on the TV series teleplay written by Lazar Saric</v>
      </c>
      <c r="G617" s="3" t="str">
        <f>"Houghton Mifflin Harcourt"</f>
        <v>Houghton Mifflin Harcourt</v>
      </c>
      <c r="H617" s="2" t="str">
        <f>"2010"</f>
        <v>2010</v>
      </c>
      <c r="I617" s="3" t="str">
        <f>""</f>
        <v/>
      </c>
    </row>
    <row r="618" spans="1:9" x14ac:dyDescent="0.3">
      <c r="A618" s="2">
        <v>617</v>
      </c>
      <c r="B618" s="4" t="s">
        <v>20</v>
      </c>
      <c r="C618" s="3" t="str">
        <f>"TFC000000496"</f>
        <v>TFC000000496</v>
      </c>
      <c r="D618" s="3" t="str">
        <f>"F800-20-0533-(AR 1.9)"</f>
        <v>F800-20-0533-(AR 1.9)</v>
      </c>
      <c r="E618" s="3" t="str">
        <f>"(The)Dot"</f>
        <v>(The)Dot</v>
      </c>
      <c r="F618" s="3" t="str">
        <f>"Peter H. Reynolds"</f>
        <v>Peter H. Reynolds</v>
      </c>
      <c r="G618" s="3" t="str">
        <f>"Walker Books"</f>
        <v>Walker Books</v>
      </c>
      <c r="H618" s="2" t="str">
        <f>"2004"</f>
        <v>2004</v>
      </c>
      <c r="I618" s="3" t="str">
        <f>""</f>
        <v/>
      </c>
    </row>
    <row r="619" spans="1:9" x14ac:dyDescent="0.3">
      <c r="A619" s="2">
        <v>618</v>
      </c>
      <c r="B619" s="4" t="s">
        <v>20</v>
      </c>
      <c r="C619" s="3" t="str">
        <f>"TFC000000497"</f>
        <v>TFC000000497</v>
      </c>
      <c r="D619" s="3" t="str">
        <f>"F800-20-0534-(AR 1.9)"</f>
        <v>F800-20-0534-(AR 1.9)</v>
      </c>
      <c r="E619" s="3" t="str">
        <f>"(The)quiet boat ride and other stories"</f>
        <v>(The)quiet boat ride and other stories</v>
      </c>
      <c r="F619" s="3" t="str">
        <f>"by Sergio Ruzzier"</f>
        <v>by Sergio Ruzzier</v>
      </c>
      <c r="G619" s="3" t="str">
        <f>"Chronicle Books"</f>
        <v>Chronicle Books</v>
      </c>
      <c r="H619" s="2" t="str">
        <f>"2019"</f>
        <v>2019</v>
      </c>
      <c r="I619" s="3" t="str">
        <f>""</f>
        <v/>
      </c>
    </row>
    <row r="620" spans="1:9" x14ac:dyDescent="0.3">
      <c r="A620" s="2">
        <v>619</v>
      </c>
      <c r="B620" s="4" t="s">
        <v>20</v>
      </c>
      <c r="C620" s="3" t="str">
        <f>"TFC000000498"</f>
        <v>TFC000000498</v>
      </c>
      <c r="D620" s="3" t="str">
        <f>"F800-20-0535-(AR 1.9)"</f>
        <v>F800-20-0535-(AR 1.9)</v>
      </c>
      <c r="E620" s="3" t="str">
        <f>"Splat the cat"</f>
        <v>Splat the cat</v>
      </c>
      <c r="F620" s="3" t="str">
        <f>"Rob Scotton"</f>
        <v>Rob Scotton</v>
      </c>
      <c r="G620" s="3" t="str">
        <f>"HarperCollins"</f>
        <v>HarperCollins</v>
      </c>
      <c r="H620" s="2" t="str">
        <f>"2008"</f>
        <v>2008</v>
      </c>
      <c r="I620" s="3" t="str">
        <f>""</f>
        <v/>
      </c>
    </row>
    <row r="621" spans="1:9" x14ac:dyDescent="0.3">
      <c r="A621" s="2">
        <v>620</v>
      </c>
      <c r="B621" s="4" t="s">
        <v>20</v>
      </c>
      <c r="C621" s="3" t="str">
        <f>"TFC000000499"</f>
        <v>TFC000000499</v>
      </c>
      <c r="D621" s="3" t="str">
        <f>"F800-20-0536-(AR 1.9)"</f>
        <v>F800-20-0536-(AR 1.9)</v>
      </c>
      <c r="E621" s="3" t="str">
        <f>"Little Owl's night"</f>
        <v>Little Owl's night</v>
      </c>
      <c r="F621" s="3" t="str">
        <f>"by Divya Srinivasan"</f>
        <v>by Divya Srinivasan</v>
      </c>
      <c r="G621" s="3" t="str">
        <f>"Viking"</f>
        <v>Viking</v>
      </c>
      <c r="H621" s="2" t="str">
        <f>"2011"</f>
        <v>2011</v>
      </c>
      <c r="I621" s="3" t="str">
        <f>""</f>
        <v/>
      </c>
    </row>
    <row r="622" spans="1:9" x14ac:dyDescent="0.3">
      <c r="A622" s="2">
        <v>621</v>
      </c>
      <c r="B622" s="4" t="s">
        <v>20</v>
      </c>
      <c r="C622" s="3" t="str">
        <f>"TFC000000500"</f>
        <v>TFC000000500</v>
      </c>
      <c r="D622" s="3" t="str">
        <f>"F800-20-0537-(AR 1.9)"</f>
        <v>F800-20-0537-(AR 1.9)</v>
      </c>
      <c r="E622" s="3" t="str">
        <f>"Max the brave"</f>
        <v>Max the brave</v>
      </c>
      <c r="F622" s="3" t="str">
        <f>"by Ed Vere"</f>
        <v>by Ed Vere</v>
      </c>
      <c r="G622" s="3" t="str">
        <f>"Sourcebooks Jabberwocky"</f>
        <v>Sourcebooks Jabberwocky</v>
      </c>
      <c r="H622" s="2" t="str">
        <f>"2015"</f>
        <v>2015</v>
      </c>
      <c r="I622" s="3" t="str">
        <f>""</f>
        <v/>
      </c>
    </row>
    <row r="623" spans="1:9" x14ac:dyDescent="0.3">
      <c r="A623" s="2">
        <v>622</v>
      </c>
      <c r="B623" s="4" t="s">
        <v>20</v>
      </c>
      <c r="C623" s="3" t="str">
        <f>"TFC000000501"</f>
        <v>TFC000000501</v>
      </c>
      <c r="D623" s="3" t="str">
        <f>"F800-20-0538-(AR 1.9)"</f>
        <v>F800-20-0538-(AR 1.9)</v>
      </c>
      <c r="E623" s="3" t="str">
        <f>"They all saw a cat"</f>
        <v>They all saw a cat</v>
      </c>
      <c r="F623" s="3" t="str">
        <f>"Brendan Wenzel"</f>
        <v>Brendan Wenzel</v>
      </c>
      <c r="G623" s="3" t="str">
        <f>"Chronicle Books"</f>
        <v>Chronicle Books</v>
      </c>
      <c r="H623" s="2" t="str">
        <f>"2016"</f>
        <v>2016</v>
      </c>
      <c r="I623" s="3" t="str">
        <f>""</f>
        <v/>
      </c>
    </row>
    <row r="624" spans="1:9" x14ac:dyDescent="0.3">
      <c r="A624" s="2">
        <v>623</v>
      </c>
      <c r="B624" s="4" t="s">
        <v>20</v>
      </c>
      <c r="C624" s="3" t="str">
        <f>"TFC000000502"</f>
        <v>TFC000000502</v>
      </c>
      <c r="D624" s="3" t="str">
        <f>"F800-20-0539-(AR 1.9)"</f>
        <v>F800-20-0539-(AR 1.9)</v>
      </c>
      <c r="E624" s="3" t="str">
        <f>"Seven blind mice"</f>
        <v>Seven blind mice</v>
      </c>
      <c r="F624" s="3" t="str">
        <f>"Written and Illustrated by Ed Young"</f>
        <v>Written and Illustrated by Ed Young</v>
      </c>
      <c r="G624" s="3" t="str">
        <f>"Puffin Books"</f>
        <v>Puffin Books</v>
      </c>
      <c r="H624" s="2" t="str">
        <f>"2002"</f>
        <v>2002</v>
      </c>
      <c r="I624" s="3" t="str">
        <f>""</f>
        <v/>
      </c>
    </row>
    <row r="625" spans="1:9" x14ac:dyDescent="0.3">
      <c r="A625" s="2">
        <v>624</v>
      </c>
      <c r="B625" s="4" t="s">
        <v>20</v>
      </c>
      <c r="C625" s="3" t="str">
        <f>"TFC000000503"</f>
        <v>TFC000000503</v>
      </c>
      <c r="D625" s="3" t="str">
        <f>"F800-20-0540-(AR 1.9)"</f>
        <v>F800-20-0540-(AR 1.9)</v>
      </c>
      <c r="E625" s="3" t="str">
        <f>"(The)day I lost my superpowers"</f>
        <v>(The)day I lost my superpowers</v>
      </c>
      <c r="F625" s="3" t="str">
        <f>"Michael Escoffier, Kris Di Giacomo ; translated from the French by Claudia Bedrick"</f>
        <v>Michael Escoffier, Kris Di Giacomo ; translated from the French by Claudia Bedrick</v>
      </c>
      <c r="G625" s="3" t="str">
        <f>"Enchanted Lion Books"</f>
        <v>Enchanted Lion Books</v>
      </c>
      <c r="H625" s="2" t="str">
        <f>"2014"</f>
        <v>2014</v>
      </c>
      <c r="I625" s="3" t="str">
        <f>""</f>
        <v/>
      </c>
    </row>
    <row r="626" spans="1:9" x14ac:dyDescent="0.3">
      <c r="A626" s="2">
        <v>625</v>
      </c>
      <c r="B626" s="4" t="s">
        <v>20</v>
      </c>
      <c r="C626" s="3" t="str">
        <f>"TFC000002989"</f>
        <v>TFC000002989</v>
      </c>
      <c r="D626" s="3" t="str">
        <f>"F800-20-0541-(AR 1.9)"</f>
        <v>F800-20-0541-(AR 1.9)</v>
      </c>
      <c r="E626" s="3" t="str">
        <f>"Riley Fetter, Star Setter"</f>
        <v>Riley Fetter, Star Setter</v>
      </c>
      <c r="F626" s="3" t="str">
        <f>"by J.L. Anderson ; illustrated by Karl West"</f>
        <v>by J.L. Anderson ; illustrated by Karl West</v>
      </c>
      <c r="G626" s="3" t="str">
        <f>"Rourke Educational Media"</f>
        <v>Rourke Educational Media</v>
      </c>
      <c r="H626" s="2" t="str">
        <f>"2019"</f>
        <v>2019</v>
      </c>
      <c r="I626" s="3" t="str">
        <f>""</f>
        <v/>
      </c>
    </row>
    <row r="627" spans="1:9" x14ac:dyDescent="0.3">
      <c r="A627" s="2">
        <v>626</v>
      </c>
      <c r="B627" s="4" t="s">
        <v>20</v>
      </c>
      <c r="C627" s="3" t="str">
        <f>"TFC000003012"</f>
        <v>TFC000003012</v>
      </c>
      <c r="D627" s="3" t="str">
        <f>"F800-20-0542-(AR 1.9)"</f>
        <v>F800-20-0542-(AR 1.9)</v>
      </c>
      <c r="E627" s="3" t="str">
        <f>"Mira's Curly Hair"</f>
        <v>Mira's Curly Hair</v>
      </c>
      <c r="F627" s="3" t="str">
        <f>"Maryam Al Serkal ; illustrated by Rebeca Luciani"</f>
        <v>Maryam Al Serkal ; illustrated by Rebeca Luciani</v>
      </c>
      <c r="G627" s="3" t="str">
        <f>"Lantana Publishing"</f>
        <v>Lantana Publishing</v>
      </c>
      <c r="H627" s="2" t="str">
        <f>"2019"</f>
        <v>2019</v>
      </c>
      <c r="I627" s="3" t="str">
        <f>""</f>
        <v/>
      </c>
    </row>
    <row r="628" spans="1:9" x14ac:dyDescent="0.3">
      <c r="A628" s="2">
        <v>627</v>
      </c>
      <c r="B628" s="4" t="s">
        <v>20</v>
      </c>
      <c r="C628" s="3" t="str">
        <f>"TFC000003249"</f>
        <v>TFC000003249</v>
      </c>
      <c r="D628" s="3" t="str">
        <f>"F800-21-0095-(AR 1.9)"</f>
        <v>F800-21-0095-(AR 1.9)</v>
      </c>
      <c r="E628" s="3" t="str">
        <f>"You read to me! I'll read to you! : very short stories to read together"</f>
        <v>You read to me! I'll read to you! : very short stories to read together</v>
      </c>
      <c r="F628" s="3" t="str">
        <f>"by Mary Ann Hoberman ; Illustrated by Michael Emberley"</f>
        <v>by Mary Ann Hoberman ; Illustrated by Michael Emberley</v>
      </c>
      <c r="G628" s="3" t="str">
        <f>"Hachette Book Group"</f>
        <v>Hachette Book Group</v>
      </c>
      <c r="H628" s="2" t="str">
        <f>"2010"</f>
        <v>2010</v>
      </c>
      <c r="I628" s="3" t="str">
        <f>""</f>
        <v/>
      </c>
    </row>
    <row r="629" spans="1:9" x14ac:dyDescent="0.3">
      <c r="A629" s="2">
        <v>628</v>
      </c>
      <c r="B629" s="4" t="s">
        <v>20</v>
      </c>
      <c r="C629" s="3" t="str">
        <f>"TFC000003250"</f>
        <v>TFC000003250</v>
      </c>
      <c r="D629" s="3" t="str">
        <f>"F800-21-0096-(AR 1.9)"</f>
        <v>F800-21-0096-(AR 1.9)</v>
      </c>
      <c r="E629" s="3" t="str">
        <f>"Fancy Nancy sees stars"</f>
        <v>Fancy Nancy sees stars</v>
      </c>
      <c r="F629" s="3" t="str">
        <f>"by O'Connor Jane ; pictures by Robin Preiss Glasser"</f>
        <v>by O'Connor Jane ; pictures by Robin Preiss Glasser</v>
      </c>
      <c r="G629" s="3" t="str">
        <f>"HarperCollins"</f>
        <v>HarperCollins</v>
      </c>
      <c r="H629" s="2" t="str">
        <f>"2011"</f>
        <v>2011</v>
      </c>
      <c r="I629" s="3" t="str">
        <f>""</f>
        <v/>
      </c>
    </row>
    <row r="630" spans="1:9" x14ac:dyDescent="0.3">
      <c r="A630" s="2">
        <v>629</v>
      </c>
      <c r="B630" s="4" t="s">
        <v>20</v>
      </c>
      <c r="C630" s="3" t="str">
        <f>"TFC000003293"</f>
        <v>TFC000003293</v>
      </c>
      <c r="D630" s="3" t="str">
        <f>"F800-21-0098-(AR 1.9)"</f>
        <v>F800-21-0098-(AR 1.9)</v>
      </c>
      <c r="E630" s="3" t="str">
        <f>"How to catch a yeti"</f>
        <v>How to catch a yeti</v>
      </c>
      <c r="F630" s="3" t="str">
        <f>"by Adam Wallace &amp; Andy Elkerton"</f>
        <v>by Adam Wallace &amp; Andy Elkerton</v>
      </c>
      <c r="G630" s="3" t="str">
        <f>"Sourcebooks Wonderland"</f>
        <v>Sourcebooks Wonderland</v>
      </c>
      <c r="H630" s="2" t="str">
        <f>"2020"</f>
        <v>2020</v>
      </c>
      <c r="I630" s="3" t="str">
        <f>""</f>
        <v/>
      </c>
    </row>
    <row r="631" spans="1:9" x14ac:dyDescent="0.3">
      <c r="A631" s="2">
        <v>630</v>
      </c>
      <c r="B631" s="4" t="s">
        <v>20</v>
      </c>
      <c r="C631" s="3" t="str">
        <f>"TFC000003294"</f>
        <v>TFC000003294</v>
      </c>
      <c r="D631" s="3" t="str">
        <f>"F800-21-0099-(AR 1.9)"</f>
        <v>F800-21-0099-(AR 1.9)</v>
      </c>
      <c r="E631" s="3" t="str">
        <f>"Run, Mo, run!"</f>
        <v>Run, Mo, run!</v>
      </c>
      <c r="F631" s="3" t="str">
        <f>"by David A. Adler ; illustrated by Sam Ricks"</f>
        <v>by David A. Adler ; illustrated by Sam Ricks</v>
      </c>
      <c r="G631" s="3" t="str">
        <f>"Penguin Young Readers"</f>
        <v>Penguin Young Readers</v>
      </c>
      <c r="H631" s="2" t="str">
        <f>"2020"</f>
        <v>2020</v>
      </c>
      <c r="I631" s="3" t="str">
        <f>""</f>
        <v/>
      </c>
    </row>
    <row r="632" spans="1:9" x14ac:dyDescent="0.3">
      <c r="A632" s="2">
        <v>631</v>
      </c>
      <c r="B632" s="4" t="s">
        <v>20</v>
      </c>
      <c r="C632" s="3" t="str">
        <f>"TFC000004031"</f>
        <v>TFC000004031</v>
      </c>
      <c r="D632" s="3" t="str">
        <f>"F900-21-0110-(AR 1.9)"</f>
        <v>F900-21-0110-(AR 1.9)</v>
      </c>
      <c r="E632" s="3" t="str">
        <f>"Naomi Osaka : Tennis Star"</f>
        <v>Naomi Osaka : Tennis Star</v>
      </c>
      <c r="F632" s="3" t="str">
        <f>"by Matt Scheff"</f>
        <v>by Matt Scheff</v>
      </c>
      <c r="G632" s="3" t="str">
        <f>"Focus Readers"</f>
        <v>Focus Readers</v>
      </c>
      <c r="H632" s="2" t="str">
        <f>"2021"</f>
        <v>2021</v>
      </c>
      <c r="I632" s="3" t="str">
        <f>""</f>
        <v/>
      </c>
    </row>
    <row r="633" spans="1:9" x14ac:dyDescent="0.3">
      <c r="A633" s="2">
        <v>632</v>
      </c>
      <c r="B633" s="4" t="s">
        <v>20</v>
      </c>
      <c r="C633" s="3" t="str">
        <f>"TFC000003570"</f>
        <v>TFC000003570</v>
      </c>
      <c r="D633" s="3" t="str">
        <f>"F800-21-0100-(AR 1.9)"</f>
        <v>F800-21-0100-(AR 1.9)</v>
      </c>
      <c r="E633" s="3" t="str">
        <f>"We are water protectors"</f>
        <v>We are water protectors</v>
      </c>
      <c r="F633" s="3" t="str">
        <f>"written by Carole Lindstrom ; illustrations by Michaela Goade"</f>
        <v>written by Carole Lindstrom ; illustrations by Michaela Goade</v>
      </c>
      <c r="G633" s="3" t="str">
        <f>"Roaring Brook Press"</f>
        <v>Roaring Brook Press</v>
      </c>
      <c r="H633" s="2" t="str">
        <f>"2020"</f>
        <v>2020</v>
      </c>
      <c r="I633" s="3" t="str">
        <f>""</f>
        <v/>
      </c>
    </row>
    <row r="634" spans="1:9" x14ac:dyDescent="0.3">
      <c r="A634" s="2">
        <v>633</v>
      </c>
      <c r="B634" s="4" t="s">
        <v>20</v>
      </c>
      <c r="C634" s="3" t="str">
        <f>"TFC000003598"</f>
        <v>TFC000003598</v>
      </c>
      <c r="D634" s="3" t="str">
        <f>"F800-21-0102-(AR 1.9)"</f>
        <v>F800-21-0102-(AR 1.9)</v>
      </c>
      <c r="E634" s="3" t="str">
        <f>"Noodlehead nightmares"</f>
        <v>Noodlehead nightmares</v>
      </c>
      <c r="F634" s="3" t="str">
        <f>"by Tedd Arnold ; Martha Hamilton and Mitch Weiss ; illustrated by Tedd Arnold"</f>
        <v>by Tedd Arnold ; Martha Hamilton and Mitch Weiss ; illustrated by Tedd Arnold</v>
      </c>
      <c r="G634" s="3" t="str">
        <f>"Holiday House"</f>
        <v>Holiday House</v>
      </c>
      <c r="H634" s="2" t="str">
        <f>"2016"</f>
        <v>2016</v>
      </c>
      <c r="I634" s="3" t="str">
        <f>""</f>
        <v/>
      </c>
    </row>
    <row r="635" spans="1:9" x14ac:dyDescent="0.3">
      <c r="A635" s="2">
        <v>634</v>
      </c>
      <c r="B635" s="4" t="s">
        <v>20</v>
      </c>
      <c r="C635" s="3" t="str">
        <f>"TFC000003686"</f>
        <v>TFC000003686</v>
      </c>
      <c r="D635" s="3" t="str">
        <f>"F800-21-0103-(AR 1.9)"</f>
        <v>F800-21-0103-(AR 1.9)</v>
      </c>
      <c r="E635" s="3" t="str">
        <f>"Rock star"</f>
        <v>Rock star</v>
      </c>
      <c r="F635" s="3" t="str">
        <f>"by Jennifer L. Holm, Matthew Holm"</f>
        <v>by Jennifer L. Holm, Matthew Holm</v>
      </c>
      <c r="G635" s="3" t="str">
        <f>"Random House"</f>
        <v>Random House</v>
      </c>
      <c r="H635" s="2" t="str">
        <f>"2006"</f>
        <v>2006</v>
      </c>
      <c r="I635" s="3" t="str">
        <f>""</f>
        <v/>
      </c>
    </row>
    <row r="636" spans="1:9" x14ac:dyDescent="0.3">
      <c r="A636" s="2">
        <v>635</v>
      </c>
      <c r="B636" s="4" t="s">
        <v>20</v>
      </c>
      <c r="C636" s="3" t="str">
        <f>"TFC000003691"</f>
        <v>TFC000003691</v>
      </c>
      <c r="D636" s="3" t="str">
        <f>"F800-21-0104-(AR 1.9)"</f>
        <v>F800-21-0104-(AR 1.9)</v>
      </c>
      <c r="E636" s="3" t="str">
        <f>"Monster mash"</f>
        <v>Monster mash</v>
      </c>
      <c r="F636" s="3" t="str">
        <f>"by Jennifer L. Holm, Matthew Holm"</f>
        <v>by Jennifer L. Holm, Matthew Holm</v>
      </c>
      <c r="G636" s="3" t="str">
        <f>"Random House"</f>
        <v>Random House</v>
      </c>
      <c r="H636" s="2" t="str">
        <f>"2008"</f>
        <v>2008</v>
      </c>
      <c r="I636" s="3" t="str">
        <f>""</f>
        <v/>
      </c>
    </row>
    <row r="637" spans="1:9" x14ac:dyDescent="0.3">
      <c r="A637" s="2">
        <v>636</v>
      </c>
      <c r="B637" s="4" t="s">
        <v>20</v>
      </c>
      <c r="C637" s="3" t="str">
        <f>"TFC000003765"</f>
        <v>TFC000003765</v>
      </c>
      <c r="D637" s="3" t="str">
        <f>"F800-21-0111-(AR 1.9)=2"</f>
        <v>F800-21-0111-(AR 1.9)=2</v>
      </c>
      <c r="E637" s="3" t="str">
        <f>"Noodlehead nightmares"</f>
        <v>Noodlehead nightmares</v>
      </c>
      <c r="F637" s="3" t="str">
        <f>"by Tedd Arnold, Martha Hamilton and Mitch Weiss ; illustrated by Tedd Arnold"</f>
        <v>by Tedd Arnold, Martha Hamilton and Mitch Weiss ; illustrated by Tedd Arnold</v>
      </c>
      <c r="G637" s="3" t="str">
        <f>"Holiday House"</f>
        <v>Holiday House</v>
      </c>
      <c r="H637" s="2" t="str">
        <f>"2016"</f>
        <v>2016</v>
      </c>
      <c r="I637" s="3" t="str">
        <f>""</f>
        <v/>
      </c>
    </row>
    <row r="638" spans="1:9" x14ac:dyDescent="0.3">
      <c r="A638" s="2">
        <v>637</v>
      </c>
      <c r="B638" s="4" t="s">
        <v>20</v>
      </c>
      <c r="C638" s="3" t="str">
        <f>"TFC000003839"</f>
        <v>TFC000003839</v>
      </c>
      <c r="D638" s="3" t="str">
        <f>"F800-21-0105-(AR 1.9)"</f>
        <v>F800-21-0105-(AR 1.9)</v>
      </c>
      <c r="E638" s="3" t="str">
        <f>"King &amp; Kayla and the case of the mysterious mouse"</f>
        <v>King &amp; Kayla and the case of the mysterious mouse</v>
      </c>
      <c r="F638" s="3" t="str">
        <f>"by Dori Hillestad Butler, illustarated by Nancy Meyers"</f>
        <v>by Dori Hillestad Butler, illustarated by Nancy Meyers</v>
      </c>
      <c r="G638" s="3" t="str">
        <f>"Peachtree"</f>
        <v>Peachtree</v>
      </c>
      <c r="H638" s="2" t="str">
        <f>"2018"</f>
        <v>2018</v>
      </c>
      <c r="I638" s="3" t="str">
        <f>""</f>
        <v/>
      </c>
    </row>
    <row r="639" spans="1:9" x14ac:dyDescent="0.3">
      <c r="A639" s="2">
        <v>638</v>
      </c>
      <c r="B639" s="4" t="s">
        <v>20</v>
      </c>
      <c r="C639" s="3" t="str">
        <f>"TFC000003841"</f>
        <v>TFC000003841</v>
      </c>
      <c r="D639" s="3" t="str">
        <f>"F800-21-0106-(AR 1.9)"</f>
        <v>F800-21-0106-(AR 1.9)</v>
      </c>
      <c r="E639" s="3" t="str">
        <f>"King &amp; Kayla and the case of the found fred"</f>
        <v>King &amp; Kayla and the case of the found fred</v>
      </c>
      <c r="F639" s="3" t="str">
        <f>"by Dori Hillestad Butler, illustrated by Nancy Meyers"</f>
        <v>by Dori Hillestad Butler, illustrated by Nancy Meyers</v>
      </c>
      <c r="G639" s="3" t="str">
        <f>"Peachtree"</f>
        <v>Peachtree</v>
      </c>
      <c r="H639" s="2" t="str">
        <f>"2018"</f>
        <v>2018</v>
      </c>
      <c r="I639" s="3" t="str">
        <f>""</f>
        <v/>
      </c>
    </row>
    <row r="640" spans="1:9" x14ac:dyDescent="0.3">
      <c r="A640" s="2">
        <v>639</v>
      </c>
      <c r="B640" s="4" t="s">
        <v>20</v>
      </c>
      <c r="C640" s="3" t="str">
        <f>"TFC000003957"</f>
        <v>TFC000003957</v>
      </c>
      <c r="D640" s="3" t="str">
        <f>"F800-21-1007-(AR 1.9)"</f>
        <v>F800-21-1007-(AR 1.9)</v>
      </c>
      <c r="E640" s="3" t="str">
        <f>"Bubbles... up!"</f>
        <v>Bubbles... up!</v>
      </c>
      <c r="F640" s="3" t="str">
        <f>"written by Jacqueline Davies, illustrated by Sonia Sanchez"</f>
        <v>written by Jacqueline Davies, illustrated by Sonia Sanchez</v>
      </c>
      <c r="G640" s="3" t="str">
        <f>"Katherine Tegen Books"</f>
        <v>Katherine Tegen Books</v>
      </c>
      <c r="H640" s="2" t="str">
        <f>"2021"</f>
        <v>2021</v>
      </c>
      <c r="I640" s="3" t="str">
        <f>""</f>
        <v/>
      </c>
    </row>
    <row r="641" spans="1:9" x14ac:dyDescent="0.3">
      <c r="A641" s="2">
        <v>640</v>
      </c>
      <c r="B641" s="4" t="s">
        <v>20</v>
      </c>
      <c r="C641" s="3" t="str">
        <f>"TFC000004030"</f>
        <v>TFC000004030</v>
      </c>
      <c r="D641" s="3" t="str">
        <f>"F900-21-0109-(AR 1.9)"</f>
        <v>F900-21-0109-(AR 1.9)</v>
      </c>
      <c r="E641" s="3" t="str">
        <f>"Tony Hawk : Skateboarding legend"</f>
        <v>Tony Hawk : Skateboarding legend</v>
      </c>
      <c r="F641" s="3" t="str">
        <f>"by Rachel Rose"</f>
        <v>by Rachel Rose</v>
      </c>
      <c r="G641" s="3" t="str">
        <f>"Bearcub"</f>
        <v>Bearcub</v>
      </c>
      <c r="H641" s="2" t="str">
        <f>"2021"</f>
        <v>2021</v>
      </c>
      <c r="I641" s="3" t="str">
        <f>""</f>
        <v/>
      </c>
    </row>
    <row r="642" spans="1:9" x14ac:dyDescent="0.3">
      <c r="A642" s="2">
        <v>641</v>
      </c>
      <c r="B642" s="4" t="s">
        <v>20</v>
      </c>
      <c r="C642" s="3" t="str">
        <f>"TFC000004388"</f>
        <v>TFC000004388</v>
      </c>
      <c r="D642" s="3" t="str">
        <f>"F800-22-0197-(AR 1.9)"</f>
        <v>F800-22-0197-(AR 1.9)</v>
      </c>
      <c r="E642" s="3" t="str">
        <f>"Clifford's best friend"</f>
        <v>Clifford's best friend</v>
      </c>
      <c r="F642" s="3" t="str">
        <f>"by Norman Bridwell"</f>
        <v>by Norman Bridwell</v>
      </c>
      <c r="G642" s="3" t="str">
        <f>"Scholastic"</f>
        <v>Scholastic</v>
      </c>
      <c r="H642" s="2" t="str">
        <f>"2000"</f>
        <v>2000</v>
      </c>
      <c r="I642" s="3" t="str">
        <f>""</f>
        <v/>
      </c>
    </row>
    <row r="643" spans="1:9" x14ac:dyDescent="0.3">
      <c r="A643" s="2">
        <v>642</v>
      </c>
      <c r="B643" s="4" t="s">
        <v>20</v>
      </c>
      <c r="C643" s="3" t="str">
        <f>"TFC000004271"</f>
        <v>TFC000004271</v>
      </c>
      <c r="D643" s="3" t="str">
        <f>"F800-22-0003-(AR 1.9)"</f>
        <v>F800-22-0003-(AR 1.9)</v>
      </c>
      <c r="E643" s="3" t="str">
        <f>"Dentist trip"</f>
        <v>Dentist trip</v>
      </c>
      <c r="F643" s="3" t="str">
        <f>"[by Scholastic]"</f>
        <v>[by Scholastic]</v>
      </c>
      <c r="G643" s="3" t="str">
        <f>"Scholastic"</f>
        <v>Scholastic</v>
      </c>
      <c r="H643" s="2" t="str">
        <f>"2003"</f>
        <v>2003</v>
      </c>
      <c r="I643" s="3" t="str">
        <f>""</f>
        <v/>
      </c>
    </row>
    <row r="644" spans="1:9" x14ac:dyDescent="0.3">
      <c r="A644" s="2">
        <v>643</v>
      </c>
      <c r="B644" s="4" t="s">
        <v>20</v>
      </c>
      <c r="C644" s="3" t="str">
        <f>"TFC000004387"</f>
        <v>TFC000004387</v>
      </c>
      <c r="D644" s="3" t="str">
        <f>"F800-22-0196-(AR 1.9)"</f>
        <v>F800-22-0196-(AR 1.9)</v>
      </c>
      <c r="E644" s="3" t="str">
        <f>"Little Elliot, big family"</f>
        <v>Little Elliot, big family</v>
      </c>
      <c r="F644" s="3" t="str">
        <f>"story and pictures by Mike Curato"</f>
        <v>story and pictures by Mike Curato</v>
      </c>
      <c r="G644" s="3" t="str">
        <f>"Henry Holt"</f>
        <v>Henry Holt</v>
      </c>
      <c r="H644" s="2" t="str">
        <f>"2015"</f>
        <v>2015</v>
      </c>
      <c r="I644" s="3" t="str">
        <f>""</f>
        <v/>
      </c>
    </row>
    <row r="645" spans="1:9" x14ac:dyDescent="0.3">
      <c r="A645" s="2">
        <v>644</v>
      </c>
      <c r="B645" s="4" t="s">
        <v>20</v>
      </c>
      <c r="C645" s="3" t="str">
        <f>"TFC000004389"</f>
        <v>TFC000004389</v>
      </c>
      <c r="D645" s="3" t="str">
        <f>"F800-22-0198-(AR 1.9)"</f>
        <v>F800-22-0198-(AR 1.9)</v>
      </c>
      <c r="E645" s="3" t="str">
        <f>"Hot rod hamster : monster truck mania!"</f>
        <v>Hot rod hamster : monster truck mania!</v>
      </c>
      <c r="F645" s="3" t="str">
        <f>"by Cynthia Lord, pictures by Derek Anderson"</f>
        <v>by Cynthia Lord, pictures by Derek Anderson</v>
      </c>
      <c r="G645" s="3" t="str">
        <f>"Scholastic Press"</f>
        <v>Scholastic Press</v>
      </c>
      <c r="H645" s="2" t="str">
        <f>"2014"</f>
        <v>2014</v>
      </c>
      <c r="I645" s="3" t="str">
        <f>""</f>
        <v/>
      </c>
    </row>
    <row r="646" spans="1:9" x14ac:dyDescent="0.3">
      <c r="A646" s="2">
        <v>645</v>
      </c>
      <c r="B646" s="4" t="s">
        <v>20</v>
      </c>
      <c r="C646" s="3" t="str">
        <f>"TFC000004654"</f>
        <v>TFC000004654</v>
      </c>
      <c r="D646" s="3" t="str">
        <f>"F800-22-0463-(AR 1.9)"</f>
        <v>F800-22-0463-(AR 1.9)</v>
      </c>
      <c r="E646" s="3" t="str">
        <f>"Red Titan and the Runaway Rbot"</f>
        <v>Red Titan and the Runaway Rbot</v>
      </c>
      <c r="F646" s="3" t="str">
        <f>"by Ryan Kaji, written by Arie Kaplan, illustrated by Patrick Spaziante"</f>
        <v>by Ryan Kaji, written by Arie Kaplan, illustrated by Patrick Spaziante</v>
      </c>
      <c r="G646" s="3" t="str">
        <f>"Simon Spotlight"</f>
        <v>Simon Spotlight</v>
      </c>
      <c r="H646" s="2" t="str">
        <f>"2021"</f>
        <v>2021</v>
      </c>
      <c r="I646" s="3" t="str">
        <f>""</f>
        <v/>
      </c>
    </row>
    <row r="647" spans="1:9" x14ac:dyDescent="0.3">
      <c r="A647" s="2">
        <v>646</v>
      </c>
      <c r="B647" s="4" t="s">
        <v>20</v>
      </c>
      <c r="C647" s="3" t="str">
        <f>"TFC000004321"</f>
        <v>TFC000004321</v>
      </c>
      <c r="D647" s="3" t="str">
        <f>"F800-22-0124-(AR1.9)"</f>
        <v>F800-22-0124-(AR1.9)</v>
      </c>
      <c r="E647" s="3" t="str">
        <f>"Norman didn't do it! : (Yew, he did)"</f>
        <v>Norman didn't do it! : (Yew, he did)</v>
      </c>
      <c r="F647" s="3" t="str">
        <f>"By Ryan T. Higgins"</f>
        <v>By Ryan T. Higgins</v>
      </c>
      <c r="G647" s="3" t="str">
        <f>"Disney·Hyperion"</f>
        <v>Disney·Hyperion</v>
      </c>
      <c r="H647" s="2" t="str">
        <f>"2021"</f>
        <v>2021</v>
      </c>
      <c r="I647" s="3" t="str">
        <f>""</f>
        <v/>
      </c>
    </row>
    <row r="648" spans="1:9" x14ac:dyDescent="0.3">
      <c r="A648" s="2">
        <v>647</v>
      </c>
      <c r="B648" s="4" t="s">
        <v>20</v>
      </c>
      <c r="C648" s="3" t="str">
        <f>"TFC000004426"</f>
        <v>TFC000004426</v>
      </c>
      <c r="D648" s="3" t="str">
        <f>"F800-22-0235-(AR1.9)"</f>
        <v>F800-22-0235-(AR1.9)</v>
      </c>
      <c r="E648" s="3" t="str">
        <f>"Goodnight, Butterfly"</f>
        <v>Goodnight, Butterfly</v>
      </c>
      <c r="F648" s="3" t="str">
        <f>"by Ross Burach"</f>
        <v>by Ross Burach</v>
      </c>
      <c r="G648" s="3" t="str">
        <f>"Scholastic Press"</f>
        <v>Scholastic Press</v>
      </c>
      <c r="H648" s="2" t="str">
        <f>"2022"</f>
        <v>2022</v>
      </c>
      <c r="I648" s="3" t="str">
        <f>""</f>
        <v/>
      </c>
    </row>
    <row r="649" spans="1:9" x14ac:dyDescent="0.3">
      <c r="A649" s="2">
        <v>648</v>
      </c>
      <c r="B649" s="4" t="s">
        <v>20</v>
      </c>
      <c r="C649" s="3" t="str">
        <f>"TFC000004653"</f>
        <v>TFC000004653</v>
      </c>
      <c r="D649" s="3" t="str">
        <f>"F800-22-0462-(AR1.9)"</f>
        <v>F800-22-0462-(AR1.9)</v>
      </c>
      <c r="E649" s="3" t="str">
        <f>"My pencil and me"</f>
        <v>My pencil and me</v>
      </c>
      <c r="F649" s="3" t="str">
        <f>"by Sara Varon"</f>
        <v>by Sara Varon</v>
      </c>
      <c r="G649" s="3" t="str">
        <f>"First Second"</f>
        <v>First Second</v>
      </c>
      <c r="H649" s="2" t="str">
        <f>"2020"</f>
        <v>2020</v>
      </c>
      <c r="I649" s="3" t="str">
        <f>""</f>
        <v/>
      </c>
    </row>
    <row r="650" spans="1:9" x14ac:dyDescent="0.3">
      <c r="A650" s="2">
        <v>649</v>
      </c>
      <c r="B650" s="4" t="s">
        <v>20</v>
      </c>
      <c r="C650" s="3" t="str">
        <f>"TFC000004655"</f>
        <v>TFC000004655</v>
      </c>
      <c r="D650" s="3" t="str">
        <f>"F800-22-0464-(AR1.9)"</f>
        <v>F800-22-0464-(AR1.9)</v>
      </c>
      <c r="E650" s="3" t="str">
        <f>"This book just stole my cat!"</f>
        <v>This book just stole my cat!</v>
      </c>
      <c r="F650" s="3" t="str">
        <f>"by Richard Byrne"</f>
        <v>by Richard Byrne</v>
      </c>
      <c r="G650" s="3" t="str">
        <f>"Henry Holt &amp; Company"</f>
        <v>Henry Holt &amp; Company</v>
      </c>
      <c r="H650" s="2" t="str">
        <f>"2018"</f>
        <v>2018</v>
      </c>
      <c r="I650" s="3" t="str">
        <f>""</f>
        <v/>
      </c>
    </row>
    <row r="651" spans="1:9" x14ac:dyDescent="0.3">
      <c r="A651" s="2">
        <v>650</v>
      </c>
      <c r="B651" s="4" t="s">
        <v>21</v>
      </c>
      <c r="C651" s="3" t="str">
        <f>"TFC000003714"</f>
        <v>TFC000003714</v>
      </c>
      <c r="D651" s="3" t="str">
        <f>"F800-21-0133-(AR 2.0)"</f>
        <v>F800-21-0133-(AR 2.0)</v>
      </c>
      <c r="E651" s="3" t="str">
        <f>"(A)new green day"</f>
        <v>(A)new green day</v>
      </c>
      <c r="F651" s="3" t="str">
        <f>"by Antoinette Portis"</f>
        <v>by Antoinette Portis</v>
      </c>
      <c r="G651" s="3" t="str">
        <f>"Neal Porter Books"</f>
        <v>Neal Porter Books</v>
      </c>
      <c r="H651" s="2" t="str">
        <f>"2020"</f>
        <v>2020</v>
      </c>
      <c r="I651" s="2" t="s">
        <v>2</v>
      </c>
    </row>
    <row r="652" spans="1:9" x14ac:dyDescent="0.3">
      <c r="A652" s="2">
        <v>651</v>
      </c>
      <c r="B652" s="4" t="s">
        <v>21</v>
      </c>
      <c r="C652" s="3" t="str">
        <f>"TFC000003449"</f>
        <v>TFC000003449</v>
      </c>
      <c r="D652" s="3" t="str">
        <f>"F800-21-0951-(AR 2.0)"</f>
        <v>F800-21-0951-(AR 2.0)</v>
      </c>
      <c r="E652" s="3" t="str">
        <f>"Don't worry, little crab"</f>
        <v>Don't worry, little crab</v>
      </c>
      <c r="F652" s="3" t="str">
        <f>"by Chris Haughton"</f>
        <v>by Chris Haughton</v>
      </c>
      <c r="G652" s="3" t="str">
        <f>"Walker Books"</f>
        <v>Walker Books</v>
      </c>
      <c r="H652" s="2" t="str">
        <f>"2020"</f>
        <v>2020</v>
      </c>
      <c r="I652" s="2" t="s">
        <v>2</v>
      </c>
    </row>
    <row r="653" spans="1:9" x14ac:dyDescent="0.3">
      <c r="A653" s="2">
        <v>652</v>
      </c>
      <c r="B653" s="4" t="s">
        <v>21</v>
      </c>
      <c r="C653" s="3" t="str">
        <f>"TFC000000506"</f>
        <v>TFC000000506</v>
      </c>
      <c r="D653" s="3" t="str">
        <f>"F800-20-0545-(AR 2.0)"</f>
        <v>F800-20-0545-(AR 2.0)</v>
      </c>
      <c r="E653" s="3" t="str">
        <f>"Sammy the seal"</f>
        <v>Sammy the seal</v>
      </c>
      <c r="F653" s="3" t="str">
        <f>"story and pictures by Syd Hoff"</f>
        <v>story and pictures by Syd Hoff</v>
      </c>
      <c r="G653" s="3" t="str">
        <f>"HarperCollins Publishers"</f>
        <v>HarperCollins Publishers</v>
      </c>
      <c r="H653" s="2" t="str">
        <f>"2000"</f>
        <v>2000</v>
      </c>
      <c r="I653" s="3" t="str">
        <f>""</f>
        <v/>
      </c>
    </row>
    <row r="654" spans="1:9" x14ac:dyDescent="0.3">
      <c r="A654" s="2">
        <v>653</v>
      </c>
      <c r="B654" s="4" t="s">
        <v>21</v>
      </c>
      <c r="C654" s="3" t="str">
        <f>"TFC000000507"</f>
        <v>TFC000000507</v>
      </c>
      <c r="D654" s="3" t="str">
        <f>"F800-20-0546-(AR 2.0)"</f>
        <v>F800-20-0546-(AR 2.0)</v>
      </c>
      <c r="E654" s="3" t="str">
        <f>"Nate the great"</f>
        <v>Nate the great</v>
      </c>
      <c r="F654" s="3" t="str">
        <f>"by Marjorie Weinman Sharmat ; illustrated by Marc Simont"</f>
        <v>by Marjorie Weinman Sharmat ; illustrated by Marc Simont</v>
      </c>
      <c r="G654" s="3" t="str">
        <f>"Yearling Book"</f>
        <v>Yearling Book</v>
      </c>
      <c r="H654" s="2" t="str">
        <f>"2004"</f>
        <v>2004</v>
      </c>
      <c r="I654" s="3" t="str">
        <f>""</f>
        <v/>
      </c>
    </row>
    <row r="655" spans="1:9" x14ac:dyDescent="0.3">
      <c r="A655" s="2">
        <v>654</v>
      </c>
      <c r="B655" s="4" t="s">
        <v>21</v>
      </c>
      <c r="C655" s="3" t="str">
        <f>"TFC000000508"</f>
        <v>TFC000000508</v>
      </c>
      <c r="D655" s="3" t="str">
        <f>"F800-20-0547-(AR 2.0)"</f>
        <v>F800-20-0547-(AR 2.0)</v>
      </c>
      <c r="E655" s="3" t="str">
        <f>"Ride, fly guy, ride!"</f>
        <v>Ride, fly guy, ride!</v>
      </c>
      <c r="F655" s="3" t="str">
        <f>"Tedd Arnold"</f>
        <v>Tedd Arnold</v>
      </c>
      <c r="G655" s="3" t="str">
        <f>"Cartwheel Books"</f>
        <v>Cartwheel Books</v>
      </c>
      <c r="H655" s="2" t="str">
        <f>"2012"</f>
        <v>2012</v>
      </c>
      <c r="I655" s="3" t="str">
        <f>""</f>
        <v/>
      </c>
    </row>
    <row r="656" spans="1:9" x14ac:dyDescent="0.3">
      <c r="A656" s="2">
        <v>655</v>
      </c>
      <c r="B656" s="4" t="s">
        <v>21</v>
      </c>
      <c r="C656" s="3" t="str">
        <f>"TFC000000509"</f>
        <v>TFC000000509</v>
      </c>
      <c r="D656" s="3" t="str">
        <f>"F800-20-0548-(AR 2.0)"</f>
        <v>F800-20-0548-(AR 2.0)</v>
      </c>
      <c r="E656" s="3" t="str">
        <f>"Noodleheads fortress of doom"</f>
        <v>Noodleheads fortress of doom</v>
      </c>
      <c r="F656" s="3" t="str">
        <f>"by Tedd Arnold, Martha Hamilton, Mitch Weiss"</f>
        <v>by Tedd Arnold, Martha Hamilton, Mitch Weiss</v>
      </c>
      <c r="G656" s="3" t="str">
        <f>"Holiday House"</f>
        <v>Holiday House</v>
      </c>
      <c r="H656" s="2" t="str">
        <f>"2019"</f>
        <v>2019</v>
      </c>
      <c r="I656" s="3" t="str">
        <f>""</f>
        <v/>
      </c>
    </row>
    <row r="657" spans="1:9" x14ac:dyDescent="0.3">
      <c r="A657" s="2">
        <v>656</v>
      </c>
      <c r="B657" s="4" t="s">
        <v>21</v>
      </c>
      <c r="C657" s="3" t="str">
        <f>"TFC000000510"</f>
        <v>TFC000000510</v>
      </c>
      <c r="D657" s="3" t="str">
        <f>"F800-20-0549-(AR 2.0)"</f>
        <v>F800-20-0549-(AR 2.0)</v>
      </c>
      <c r="E657" s="3" t="str">
        <f>"Snow"</f>
        <v>Snow</v>
      </c>
      <c r="F657" s="3" t="str">
        <f>"written by Marion Dane Bauer ; illustrated by John Wallace"</f>
        <v>written by Marion Dane Bauer ; illustrated by John Wallace</v>
      </c>
      <c r="G657" s="3" t="str">
        <f>"Aladdin"</f>
        <v>Aladdin</v>
      </c>
      <c r="H657" s="2" t="str">
        <f>"2016"</f>
        <v>2016</v>
      </c>
      <c r="I657" s="3" t="str">
        <f>""</f>
        <v/>
      </c>
    </row>
    <row r="658" spans="1:9" x14ac:dyDescent="0.3">
      <c r="A658" s="2">
        <v>657</v>
      </c>
      <c r="B658" s="4" t="s">
        <v>21</v>
      </c>
      <c r="C658" s="3" t="str">
        <f>"TFC000000511"</f>
        <v>TFC000000511</v>
      </c>
      <c r="D658" s="3" t="str">
        <f>"F800-20-0550-(AR 2.0)"</f>
        <v>F800-20-0550-(AR 2.0)</v>
      </c>
      <c r="E658" s="3" t="str">
        <f>"Peepsqueak!"</f>
        <v>Peepsqueak!</v>
      </c>
      <c r="F658" s="3" t="str">
        <f>"written and illustrated by Leslie Ann Clark"</f>
        <v>written and illustrated by Leslie Ann Clark</v>
      </c>
      <c r="G658" s="3" t="str">
        <f>"Harper"</f>
        <v>Harper</v>
      </c>
      <c r="H658" s="2" t="str">
        <f>"2012"</f>
        <v>2012</v>
      </c>
      <c r="I658" s="3" t="str">
        <f>""</f>
        <v/>
      </c>
    </row>
    <row r="659" spans="1:9" x14ac:dyDescent="0.3">
      <c r="A659" s="2">
        <v>658</v>
      </c>
      <c r="B659" s="4" t="s">
        <v>21</v>
      </c>
      <c r="C659" s="3" t="str">
        <f>"TFC000000512"</f>
        <v>TFC000000512</v>
      </c>
      <c r="D659" s="3" t="str">
        <f>"F800-20-0551-(AR 2.0)"</f>
        <v>F800-20-0551-(AR 2.0)</v>
      </c>
      <c r="E659" s="3" t="str">
        <f>"(The)cow that laid an egg"</f>
        <v>(The)cow that laid an egg</v>
      </c>
      <c r="F659" s="3" t="str">
        <f>"by Andy Cutbill ; illustrated by Russell Ayto"</f>
        <v>by Andy Cutbill ; illustrated by Russell Ayto</v>
      </c>
      <c r="G659" s="3" t="str">
        <f>"HarperCollinsPublishers"</f>
        <v>HarperCollinsPublishers</v>
      </c>
      <c r="H659" s="2" t="str">
        <f>"2008"</f>
        <v>2008</v>
      </c>
      <c r="I659" s="3" t="str">
        <f>""</f>
        <v/>
      </c>
    </row>
    <row r="660" spans="1:9" x14ac:dyDescent="0.3">
      <c r="A660" s="2">
        <v>659</v>
      </c>
      <c r="B660" s="4" t="s">
        <v>21</v>
      </c>
      <c r="C660" s="3" t="str">
        <f>"TFC000000513"</f>
        <v>TFC000000513</v>
      </c>
      <c r="D660" s="3" t="str">
        <f>"F800-20-0552-(AR 2.0)"</f>
        <v>F800-20-0552-(AR 2.0)</v>
      </c>
      <c r="E660" s="3" t="str">
        <f>"Splat the cat and the lemonade stand"</f>
        <v>Splat the cat and the lemonade stand</v>
      </c>
      <c r="F660" s="3" t="str">
        <f>"by Laura Driscoll ; pictures by Robert Eberz"</f>
        <v>by Laura Driscoll ; pictures by Robert Eberz</v>
      </c>
      <c r="G660" s="3" t="str">
        <f>"Harper"</f>
        <v>Harper</v>
      </c>
      <c r="H660" s="2" t="str">
        <f>"2019"</f>
        <v>2019</v>
      </c>
      <c r="I660" s="3" t="str">
        <f>""</f>
        <v/>
      </c>
    </row>
    <row r="661" spans="1:9" x14ac:dyDescent="0.3">
      <c r="A661" s="2">
        <v>660</v>
      </c>
      <c r="B661" s="4" t="s">
        <v>21</v>
      </c>
      <c r="C661" s="3" t="str">
        <f>"TFC000000514"</f>
        <v>TFC000000514</v>
      </c>
      <c r="D661" s="3" t="str">
        <f>"F800-20-0553-(AR 2.0)"</f>
        <v>F800-20-0553-(AR 2.0)</v>
      </c>
      <c r="E661" s="3" t="str">
        <f>"Olivia"</f>
        <v>Olivia</v>
      </c>
      <c r="F661" s="3" t="str">
        <f>"written and illus. by Ian Falconer"</f>
        <v>written and illus. by Ian Falconer</v>
      </c>
      <c r="G661" s="3" t="str">
        <f>"Atheneum Books for Young Readers"</f>
        <v>Atheneum Books for Young Readers</v>
      </c>
      <c r="H661" s="2" t="str">
        <f>"2000"</f>
        <v>2000</v>
      </c>
      <c r="I661" s="3" t="str">
        <f>""</f>
        <v/>
      </c>
    </row>
    <row r="662" spans="1:9" x14ac:dyDescent="0.3">
      <c r="A662" s="2">
        <v>661</v>
      </c>
      <c r="B662" s="4" t="s">
        <v>21</v>
      </c>
      <c r="C662" s="3" t="str">
        <f>"TFC000000515"</f>
        <v>TFC000000515</v>
      </c>
      <c r="D662" s="3" t="str">
        <f>"F800-20-0554-(AR 2.0)"</f>
        <v>F800-20-0554-(AR 2.0)</v>
      </c>
      <c r="E662" s="3" t="str">
        <f>"Olivia...and the missing toy"</f>
        <v>Olivia...and the missing toy</v>
      </c>
      <c r="F662" s="3" t="str">
        <f>"by Ian Falconer"</f>
        <v>by Ian Falconer</v>
      </c>
      <c r="G662" s="3" t="str">
        <f>"Atheneum Books for Young Readers"</f>
        <v>Atheneum Books for Young Readers</v>
      </c>
      <c r="H662" s="2" t="str">
        <f>"2003"</f>
        <v>2003</v>
      </c>
      <c r="I662" s="3" t="str">
        <f>""</f>
        <v/>
      </c>
    </row>
    <row r="663" spans="1:9" x14ac:dyDescent="0.3">
      <c r="A663" s="2">
        <v>662</v>
      </c>
      <c r="B663" s="4" t="s">
        <v>21</v>
      </c>
      <c r="C663" s="3" t="str">
        <f>"TFC000000516"</f>
        <v>TFC000000516</v>
      </c>
      <c r="D663" s="3" t="str">
        <f>"F800-20-0555-(AR 2.0)"</f>
        <v>F800-20-0555-(AR 2.0)</v>
      </c>
      <c r="E663" s="3" t="str">
        <f>"(The)bad seed"</f>
        <v>(The)bad seed</v>
      </c>
      <c r="F663" s="3" t="str">
        <f>"written by Jory John ; illustrations by Pete Oswald"</f>
        <v>written by Jory John ; illustrations by Pete Oswald</v>
      </c>
      <c r="G663" s="3" t="str">
        <f>"Harper"</f>
        <v>Harper</v>
      </c>
      <c r="H663" s="2" t="str">
        <f>"2017"</f>
        <v>2017</v>
      </c>
      <c r="I663" s="3" t="str">
        <f>""</f>
        <v/>
      </c>
    </row>
    <row r="664" spans="1:9" x14ac:dyDescent="0.3">
      <c r="A664" s="2">
        <v>663</v>
      </c>
      <c r="B664" s="4" t="s">
        <v>21</v>
      </c>
      <c r="C664" s="3" t="str">
        <f>"TFC000000517"</f>
        <v>TFC000000517</v>
      </c>
      <c r="D664" s="3" t="str">
        <f>"F800-20-0556-(AR 2.0)"</f>
        <v>F800-20-0556-(AR 2.0)</v>
      </c>
      <c r="E664" s="3" t="str">
        <f>"Lousy rotten stinkin' grapes"</f>
        <v>Lousy rotten stinkin' grapes</v>
      </c>
      <c r="F664" s="3" t="str">
        <f>"by Margie Palatini ; illustrated by Barry Moser"</f>
        <v>by Margie Palatini ; illustrated by Barry Moser</v>
      </c>
      <c r="G664" s="3" t="str">
        <f>"Simon &amp; Schuster Books for Young Readers"</f>
        <v>Simon &amp; Schuster Books for Young Readers</v>
      </c>
      <c r="H664" s="2" t="str">
        <f>"2009"</f>
        <v>2009</v>
      </c>
      <c r="I664" s="3" t="str">
        <f>""</f>
        <v/>
      </c>
    </row>
    <row r="665" spans="1:9" x14ac:dyDescent="0.3">
      <c r="A665" s="2">
        <v>664</v>
      </c>
      <c r="B665" s="4" t="s">
        <v>21</v>
      </c>
      <c r="C665" s="3" t="str">
        <f>"TFC000000518"</f>
        <v>TFC000000518</v>
      </c>
      <c r="D665" s="3" t="str">
        <f>"F800-20-0557-(AR 2.0)"</f>
        <v>F800-20-0557-(AR 2.0)</v>
      </c>
      <c r="E665" s="3" t="str">
        <f>"(The)happy book"</f>
        <v>(The)happy book</v>
      </c>
      <c r="F665" s="3" t="str">
        <f>"Andy Rash"</f>
        <v>Andy Rash</v>
      </c>
      <c r="G665" s="3" t="str">
        <f>"Viking"</f>
        <v>Viking</v>
      </c>
      <c r="H665" s="2" t="str">
        <f>"2019"</f>
        <v>2019</v>
      </c>
      <c r="I665" s="3" t="str">
        <f>""</f>
        <v/>
      </c>
    </row>
    <row r="666" spans="1:9" x14ac:dyDescent="0.3">
      <c r="A666" s="2">
        <v>665</v>
      </c>
      <c r="B666" s="4" t="s">
        <v>21</v>
      </c>
      <c r="C666" s="3" t="str">
        <f>"TFC000000519"</f>
        <v>TFC000000519</v>
      </c>
      <c r="D666" s="3" t="str">
        <f>"F800-20-0558-(AR 2.0)"</f>
        <v>F800-20-0558-(AR 2.0)</v>
      </c>
      <c r="E666" s="3" t="str">
        <f>"Duck on a bike"</f>
        <v>Duck on a bike</v>
      </c>
      <c r="F666" s="3" t="str">
        <f>"by David Shannon"</f>
        <v>by David Shannon</v>
      </c>
      <c r="G666" s="3" t="str">
        <f>"Scholastic"</f>
        <v>Scholastic</v>
      </c>
      <c r="H666" s="2" t="str">
        <f>"2002"</f>
        <v>2002</v>
      </c>
      <c r="I666" s="3" t="str">
        <f>""</f>
        <v/>
      </c>
    </row>
    <row r="667" spans="1:9" x14ac:dyDescent="0.3">
      <c r="A667" s="2">
        <v>666</v>
      </c>
      <c r="B667" s="4" t="s">
        <v>21</v>
      </c>
      <c r="C667" s="3" t="str">
        <f>"TFC000000520"</f>
        <v>TFC000000520</v>
      </c>
      <c r="D667" s="3" t="str">
        <f>"F800-20-0559-(AR 2.0)"</f>
        <v>F800-20-0559-(AR 2.0)</v>
      </c>
      <c r="E667" s="3" t="str">
        <f>"Charlie &amp; Mouse even better"</f>
        <v>Charlie &amp; Mouse even better</v>
      </c>
      <c r="F667" s="3" t="str">
        <f>"by Laurel Snyder ; illustrated by Emily Hughes"</f>
        <v>by Laurel Snyder ; illustrated by Emily Hughes</v>
      </c>
      <c r="G667" s="3" t="str">
        <f>"Chronicle Books"</f>
        <v>Chronicle Books</v>
      </c>
      <c r="H667" s="2" t="str">
        <f>"2019"</f>
        <v>2019</v>
      </c>
      <c r="I667" s="3" t="str">
        <f>""</f>
        <v/>
      </c>
    </row>
    <row r="668" spans="1:9" x14ac:dyDescent="0.3">
      <c r="A668" s="2">
        <v>667</v>
      </c>
      <c r="B668" s="4" t="s">
        <v>21</v>
      </c>
      <c r="C668" s="3" t="str">
        <f>"TFC000000521"</f>
        <v>TFC000000521</v>
      </c>
      <c r="D668" s="3" t="str">
        <f>"F800-20-0560-(AR 2.0)"</f>
        <v>F800-20-0560-(AR 2.0)</v>
      </c>
      <c r="E668" s="3" t="str">
        <f>"Duck soup"</f>
        <v>Duck soup</v>
      </c>
      <c r="F668" s="3" t="str">
        <f>"Jackie Urbanovic"</f>
        <v>Jackie Urbanovic</v>
      </c>
      <c r="G668" s="3" t="str">
        <f>"HarperCollins Publishers"</f>
        <v>HarperCollins Publishers</v>
      </c>
      <c r="H668" s="2" t="str">
        <f>"2008"</f>
        <v>2008</v>
      </c>
      <c r="I668" s="3" t="str">
        <f>""</f>
        <v/>
      </c>
    </row>
    <row r="669" spans="1:9" x14ac:dyDescent="0.3">
      <c r="A669" s="2">
        <v>668</v>
      </c>
      <c r="B669" s="4" t="s">
        <v>21</v>
      </c>
      <c r="C669" s="3" t="str">
        <f>"TFC000002987"</f>
        <v>TFC000002987</v>
      </c>
      <c r="D669" s="3" t="str">
        <f>"F800-20-0561-(AR 2.0)"</f>
        <v>F800-20-0561-(AR 2.0)</v>
      </c>
      <c r="E669" s="3" t="str">
        <f>"(A)big problem"</f>
        <v>(A)big problem</v>
      </c>
      <c r="F669" s="3" t="str">
        <f>"by Katy Duffield ; illustrated by Hazel Quintanilla"</f>
        <v>by Katy Duffield ; illustrated by Hazel Quintanilla</v>
      </c>
      <c r="G669" s="3" t="str">
        <f>"Rourke Educational Media"</f>
        <v>Rourke Educational Media</v>
      </c>
      <c r="H669" s="2" t="str">
        <f>"2020"</f>
        <v>2020</v>
      </c>
      <c r="I669" s="3" t="str">
        <f>""</f>
        <v/>
      </c>
    </row>
    <row r="670" spans="1:9" x14ac:dyDescent="0.3">
      <c r="A670" s="2">
        <v>669</v>
      </c>
      <c r="B670" s="4" t="s">
        <v>21</v>
      </c>
      <c r="C670" s="3" t="str">
        <f>"TFC000002988"</f>
        <v>TFC000002988</v>
      </c>
      <c r="D670" s="3" t="str">
        <f>"F800-20-0562-(AR 2.0)"</f>
        <v>F800-20-0562-(AR 2.0)</v>
      </c>
      <c r="E670" s="3" t="str">
        <f>"Letting go"</f>
        <v>Letting go</v>
      </c>
      <c r="F670" s="3" t="str">
        <f>"by Katy Duffield ; illustrated by Hazel Quintanilla"</f>
        <v>by Katy Duffield ; illustrated by Hazel Quintanilla</v>
      </c>
      <c r="G670" s="3" t="str">
        <f>"Rourke Educational Media"</f>
        <v>Rourke Educational Media</v>
      </c>
      <c r="H670" s="2" t="str">
        <f>"2020"</f>
        <v>2020</v>
      </c>
      <c r="I670" s="3" t="str">
        <f>""</f>
        <v/>
      </c>
    </row>
    <row r="671" spans="1:9" x14ac:dyDescent="0.3">
      <c r="A671" s="2">
        <v>670</v>
      </c>
      <c r="B671" s="4" t="s">
        <v>21</v>
      </c>
      <c r="C671" s="3" t="str">
        <f>"TFC000002990"</f>
        <v>TFC000002990</v>
      </c>
      <c r="D671" s="3" t="str">
        <f>"F800-20-0563-(AR 2.0)"</f>
        <v>F800-20-0563-(AR 2.0)</v>
      </c>
      <c r="E671" s="3" t="str">
        <f>"Jamie Short, king of the court"</f>
        <v>Jamie Short, king of the court</v>
      </c>
      <c r="F671" s="3" t="str">
        <f>"by J.L. Anderson ; illustrated by Karl West"</f>
        <v>by J.L. Anderson ; illustrated by Karl West</v>
      </c>
      <c r="G671" s="3" t="str">
        <f>"Rourke Educational Media"</f>
        <v>Rourke Educational Media</v>
      </c>
      <c r="H671" s="2" t="str">
        <f>"2019"</f>
        <v>2019</v>
      </c>
      <c r="I671" s="3" t="str">
        <f>""</f>
        <v/>
      </c>
    </row>
    <row r="672" spans="1:9" x14ac:dyDescent="0.3">
      <c r="A672" s="2">
        <v>671</v>
      </c>
      <c r="B672" s="4" t="s">
        <v>21</v>
      </c>
      <c r="C672" s="3" t="str">
        <f>"TFC000003010"</f>
        <v>TFC000003010</v>
      </c>
      <c r="D672" s="3" t="str">
        <f>"F800-20-0564-(AR 2.0)"</f>
        <v>F800-20-0564-(AR 2.0)</v>
      </c>
      <c r="E672" s="3" t="str">
        <f>"Peeping beauty"</f>
        <v>Peeping beauty</v>
      </c>
      <c r="F672" s="3" t="str">
        <f>"by Brenda Maier ; illustrated by Zoe Waring"</f>
        <v>by Brenda Maier ; illustrated by Zoe Waring</v>
      </c>
      <c r="G672" s="3" t="str">
        <f>"Aladdin"</f>
        <v>Aladdin</v>
      </c>
      <c r="H672" s="2" t="str">
        <f>"2019"</f>
        <v>2019</v>
      </c>
      <c r="I672" s="3" t="str">
        <f>""</f>
        <v/>
      </c>
    </row>
    <row r="673" spans="1:9" x14ac:dyDescent="0.3">
      <c r="A673" s="2">
        <v>672</v>
      </c>
      <c r="B673" s="4" t="s">
        <v>21</v>
      </c>
      <c r="C673" s="3" t="str">
        <f>"TFC000003044"</f>
        <v>TFC000003044</v>
      </c>
      <c r="D673" s="3" t="str">
        <f>"F800-20-0565-(AR 2.0)"</f>
        <v>F800-20-0565-(AR 2.0)</v>
      </c>
      <c r="E673" s="3" t="str">
        <f>"Ling &amp; Ting share a birthday"</f>
        <v>Ling &amp; Ting share a birthday</v>
      </c>
      <c r="F673" s="3" t="str">
        <f>"by Grace Lin"</f>
        <v>by Grace Lin</v>
      </c>
      <c r="G673" s="3" t="str">
        <f>"Little, Brown and Company"</f>
        <v>Little, Brown and Company</v>
      </c>
      <c r="H673" s="2" t="str">
        <f>"2014"</f>
        <v>2014</v>
      </c>
      <c r="I673" s="3" t="str">
        <f>""</f>
        <v/>
      </c>
    </row>
    <row r="674" spans="1:9" x14ac:dyDescent="0.3">
      <c r="A674" s="2">
        <v>673</v>
      </c>
      <c r="B674" s="4" t="s">
        <v>21</v>
      </c>
      <c r="C674" s="3" t="str">
        <f>"TFC000003078"</f>
        <v>TFC000003078</v>
      </c>
      <c r="D674" s="3" t="str">
        <f>"F800-20-0566-(AR 2.0)"</f>
        <v>F800-20-0566-(AR 2.0)</v>
      </c>
      <c r="E674" s="3" t="str">
        <f>"Little excavator"</f>
        <v>Little excavator</v>
      </c>
      <c r="F674" s="3" t="str">
        <f>"Anna Dewdney"</f>
        <v>Anna Dewdney</v>
      </c>
      <c r="G674" s="3" t="str">
        <f>"Viking"</f>
        <v>Viking</v>
      </c>
      <c r="H674" s="2" t="str">
        <f>"2017"</f>
        <v>2017</v>
      </c>
      <c r="I674" s="3" t="str">
        <f>""</f>
        <v/>
      </c>
    </row>
    <row r="675" spans="1:9" x14ac:dyDescent="0.3">
      <c r="A675" s="2">
        <v>674</v>
      </c>
      <c r="B675" s="4" t="s">
        <v>21</v>
      </c>
      <c r="C675" s="3" t="str">
        <f>"TFC000003206"</f>
        <v>TFC000003206</v>
      </c>
      <c r="D675" s="3" t="str">
        <f>"F400-21-0114-(AR 2.0)"</f>
        <v>F400-21-0114-(AR 2.0)</v>
      </c>
      <c r="E675" s="3" t="str">
        <f>"Turtles"</f>
        <v>Turtles</v>
      </c>
      <c r="F675" s="3" t="str">
        <f>"by Jodi Huelin ; illustrated by Pedro Julio Gonzalez"</f>
        <v>by Jodi Huelin ; illustrated by Pedro Julio Gonzalez</v>
      </c>
      <c r="G675" s="3" t="str">
        <f>"Penguin Young Readers"</f>
        <v>Penguin Young Readers</v>
      </c>
      <c r="H675" s="2" t="str">
        <f>"2012"</f>
        <v>2012</v>
      </c>
      <c r="I675" s="3" t="str">
        <f>""</f>
        <v/>
      </c>
    </row>
    <row r="676" spans="1:9" x14ac:dyDescent="0.3">
      <c r="A676" s="2">
        <v>675</v>
      </c>
      <c r="B676" s="4" t="s">
        <v>21</v>
      </c>
      <c r="C676" s="3" t="str">
        <f>"TFC000003211"</f>
        <v>TFC000003211</v>
      </c>
      <c r="D676" s="3" t="str">
        <f>"F800-21-0118-(AR 2.0)"</f>
        <v>F800-21-0118-(AR 2.0)</v>
      </c>
      <c r="E676" s="3" t="str">
        <f>"Fox on the job"</f>
        <v>Fox on the job</v>
      </c>
      <c r="F676" s="3" t="str">
        <f>"by James Marshall"</f>
        <v>by James Marshall</v>
      </c>
      <c r="G676" s="3" t="str">
        <f>"Turtleback Books"</f>
        <v>Turtleback Books</v>
      </c>
      <c r="H676" s="2" t="str">
        <f>"2012"</f>
        <v>2012</v>
      </c>
      <c r="I676" s="3" t="str">
        <f>""</f>
        <v/>
      </c>
    </row>
    <row r="677" spans="1:9" x14ac:dyDescent="0.3">
      <c r="A677" s="2">
        <v>676</v>
      </c>
      <c r="B677" s="4" t="s">
        <v>21</v>
      </c>
      <c r="C677" s="3" t="str">
        <f>"TFC000003295"</f>
        <v>TFC000003295</v>
      </c>
      <c r="D677" s="3" t="str">
        <f>"F400-21-0115-(AR 2.0)"</f>
        <v>F400-21-0115-(AR 2.0)</v>
      </c>
      <c r="E677" s="3" t="str">
        <f>"Baby goats"</f>
        <v>Baby goats</v>
      </c>
      <c r="F677" s="3" t="str">
        <f>"by Martha London"</f>
        <v>by Martha London</v>
      </c>
      <c r="G677" s="3" t="str">
        <f>"Cody Koala"</f>
        <v>Cody Koala</v>
      </c>
      <c r="H677" s="2" t="str">
        <f>"2021"</f>
        <v>2021</v>
      </c>
      <c r="I677" s="3" t="str">
        <f>""</f>
        <v/>
      </c>
    </row>
    <row r="678" spans="1:9" x14ac:dyDescent="0.3">
      <c r="A678" s="2">
        <v>677</v>
      </c>
      <c r="B678" s="4" t="s">
        <v>21</v>
      </c>
      <c r="C678" s="3" t="str">
        <f>"TFC000003296"</f>
        <v>TFC000003296</v>
      </c>
      <c r="D678" s="3" t="str">
        <f>"F400-21-0116-(AR 2.0)"</f>
        <v>F400-21-0116-(AR 2.0)</v>
      </c>
      <c r="E678" s="3" t="str">
        <f>"Baby pigs"</f>
        <v>Baby pigs</v>
      </c>
      <c r="F678" s="3" t="str">
        <f>"by Martha London"</f>
        <v>by Martha London</v>
      </c>
      <c r="G678" s="3" t="str">
        <f>"Cody Koala"</f>
        <v>Cody Koala</v>
      </c>
      <c r="H678" s="2" t="str">
        <f>"2021"</f>
        <v>2021</v>
      </c>
      <c r="I678" s="3" t="str">
        <f>""</f>
        <v/>
      </c>
    </row>
    <row r="679" spans="1:9" x14ac:dyDescent="0.3">
      <c r="A679" s="2">
        <v>678</v>
      </c>
      <c r="B679" s="4" t="s">
        <v>21</v>
      </c>
      <c r="C679" s="3" t="str">
        <f>"TFC000003297"</f>
        <v>TFC000003297</v>
      </c>
      <c r="D679" s="3" t="str">
        <f>"F400-21-0117-(AR 2.0)"</f>
        <v>F400-21-0117-(AR 2.0)</v>
      </c>
      <c r="E679" s="3" t="str">
        <f>"Baby sheep"</f>
        <v>Baby sheep</v>
      </c>
      <c r="F679" s="3" t="str">
        <f>"by Martha London"</f>
        <v>by Martha London</v>
      </c>
      <c r="G679" s="3" t="str">
        <f>"Cody Koala"</f>
        <v>Cody Koala</v>
      </c>
      <c r="H679" s="2" t="str">
        <f>"2021"</f>
        <v>2021</v>
      </c>
      <c r="I679" s="3" t="str">
        <f>""</f>
        <v/>
      </c>
    </row>
    <row r="680" spans="1:9" x14ac:dyDescent="0.3">
      <c r="A680" s="2">
        <v>679</v>
      </c>
      <c r="B680" s="4" t="s">
        <v>21</v>
      </c>
      <c r="C680" s="3" t="str">
        <f>"TFC000003299"</f>
        <v>TFC000003299</v>
      </c>
      <c r="D680" s="3" t="str">
        <f>"F800-21-0120-(AR 2.0)"</f>
        <v>F800-21-0120-(AR 2.0)</v>
      </c>
      <c r="E680" s="3" t="str">
        <f>"(The)clothesline"</f>
        <v>(The)clothesline</v>
      </c>
      <c r="F680" s="3" t="str">
        <f>"by Orbie"</f>
        <v>by Orbie</v>
      </c>
      <c r="G680" s="3" t="str">
        <f>"Owlkids Books"</f>
        <v>Owlkids Books</v>
      </c>
      <c r="H680" s="2" t="str">
        <f>"2019"</f>
        <v>2019</v>
      </c>
      <c r="I680" s="3" t="str">
        <f>""</f>
        <v/>
      </c>
    </row>
    <row r="681" spans="1:9" x14ac:dyDescent="0.3">
      <c r="A681" s="2">
        <v>680</v>
      </c>
      <c r="B681" s="4" t="s">
        <v>21</v>
      </c>
      <c r="C681" s="3" t="str">
        <f>"TFC000003300"</f>
        <v>TFC000003300</v>
      </c>
      <c r="D681" s="3" t="str">
        <f>"F800-21-0121-(AR 2.0)"</f>
        <v>F800-21-0121-(AR 2.0)</v>
      </c>
      <c r="E681" s="3" t="str">
        <f>"How do dinosaurs show good manners?"</f>
        <v>How do dinosaurs show good manners?</v>
      </c>
      <c r="F681" s="3" t="str">
        <f>"by Jane Yolen ; illustrated by Mark Teague"</f>
        <v>by Jane Yolen ; illustrated by Mark Teague</v>
      </c>
      <c r="G681" s="3" t="str">
        <f>"Blue Sky Press, an imprint of Scholastic, Inc"</f>
        <v>Blue Sky Press, an imprint of Scholastic, Inc</v>
      </c>
      <c r="H681" s="2" t="str">
        <f>"2020"</f>
        <v>2020</v>
      </c>
      <c r="I681" s="3" t="str">
        <f>""</f>
        <v/>
      </c>
    </row>
    <row r="682" spans="1:9" x14ac:dyDescent="0.3">
      <c r="A682" s="2">
        <v>681</v>
      </c>
      <c r="B682" s="4" t="s">
        <v>21</v>
      </c>
      <c r="C682" s="3" t="str">
        <f>"TFC000003301"</f>
        <v>TFC000003301</v>
      </c>
      <c r="D682" s="3" t="str">
        <f>"F800-21-0122-(AR 2.0)"</f>
        <v>F800-21-0122-(AR 2.0)</v>
      </c>
      <c r="E682" s="3" t="str">
        <f>"Pedro goes to mars"</f>
        <v>Pedro goes to mars</v>
      </c>
      <c r="F682" s="3" t="str">
        <f>"by Fran Manushkin ; illustrated by Tammy Lyon"</f>
        <v>by Fran Manushkin ; illustrated by Tammy Lyon</v>
      </c>
      <c r="G682" s="3" t="str">
        <f>"Picture Window Books"</f>
        <v>Picture Window Books</v>
      </c>
      <c r="H682" s="2" t="str">
        <f>"2021"</f>
        <v>2021</v>
      </c>
      <c r="I682" s="3" t="str">
        <f>""</f>
        <v/>
      </c>
    </row>
    <row r="683" spans="1:9" x14ac:dyDescent="0.3">
      <c r="A683" s="2">
        <v>682</v>
      </c>
      <c r="B683" s="4" t="s">
        <v>21</v>
      </c>
      <c r="C683" s="3" t="str">
        <f>"TFC000003302"</f>
        <v>TFC000003302</v>
      </c>
      <c r="D683" s="3" t="str">
        <f>"F800-21-0123-(AR 2.0)"</f>
        <v>F800-21-0123-(AR 2.0)</v>
      </c>
      <c r="E683" s="3" t="str">
        <f>"(A)stack of alpacas"</f>
        <v>(A)stack of alpacas</v>
      </c>
      <c r="F683" s="3" t="str">
        <f>"by Matt Cosgrove"</f>
        <v>by Matt Cosgrove</v>
      </c>
      <c r="G683" s="3" t="str">
        <f>"Scholastic Press"</f>
        <v>Scholastic Press</v>
      </c>
      <c r="H683" s="2" t="str">
        <f>"2020"</f>
        <v>2020</v>
      </c>
      <c r="I683" s="3" t="str">
        <f>""</f>
        <v/>
      </c>
    </row>
    <row r="684" spans="1:9" x14ac:dyDescent="0.3">
      <c r="A684" s="2">
        <v>683</v>
      </c>
      <c r="B684" s="4" t="s">
        <v>21</v>
      </c>
      <c r="C684" s="3" t="str">
        <f>"TFC000003303"</f>
        <v>TFC000003303</v>
      </c>
      <c r="D684" s="3" t="str">
        <f>"F800-21-0124-(AR 2.0)"</f>
        <v>F800-21-0124-(AR 2.0)</v>
      </c>
      <c r="E684" s="3" t="str">
        <f>"Unstoppable"</f>
        <v>Unstoppable</v>
      </c>
      <c r="F684" s="3" t="str">
        <f>"written by Adam Rex ; illustrated by Laura Park"</f>
        <v>written by Adam Rex ; illustrated by Laura Park</v>
      </c>
      <c r="G684" s="3" t="str">
        <f>"Chronicle Books"</f>
        <v>Chronicle Books</v>
      </c>
      <c r="H684" s="2" t="str">
        <f>"2020"</f>
        <v>2020</v>
      </c>
      <c r="I684" s="3" t="str">
        <f>""</f>
        <v/>
      </c>
    </row>
    <row r="685" spans="1:9" x14ac:dyDescent="0.3">
      <c r="A685" s="2">
        <v>684</v>
      </c>
      <c r="B685" s="4" t="s">
        <v>21</v>
      </c>
      <c r="C685" s="3" t="str">
        <f>"TFC000003454"</f>
        <v>TFC000003454</v>
      </c>
      <c r="D685" s="3" t="str">
        <f>"F800-21-0125-(AR 2.0)"</f>
        <v>F800-21-0125-(AR 2.0)</v>
      </c>
      <c r="E685" s="3" t="str">
        <f>"I'm sorry"</f>
        <v>I'm sorry</v>
      </c>
      <c r="F685" s="3" t="str">
        <f>"by Sam McBratney ; illustrations by Jennifer Eachus"</f>
        <v>by Sam McBratney ; illustrations by Jennifer Eachus</v>
      </c>
      <c r="G685" s="3" t="str">
        <f>"HarperCollins Publishers"</f>
        <v>HarperCollins Publishers</v>
      </c>
      <c r="H685" s="2" t="str">
        <f>"2006"</f>
        <v>2006</v>
      </c>
      <c r="I685" s="3" t="str">
        <f>""</f>
        <v/>
      </c>
    </row>
    <row r="686" spans="1:9" x14ac:dyDescent="0.3">
      <c r="A686" s="2">
        <v>685</v>
      </c>
      <c r="B686" s="4" t="s">
        <v>21</v>
      </c>
      <c r="C686" s="3" t="str">
        <f>"TFC000003462"</f>
        <v>TFC000003462</v>
      </c>
      <c r="D686" s="3" t="str">
        <f>"F800-21-0126-(AR 2.0)"</f>
        <v>F800-21-0126-(AR 2.0)</v>
      </c>
      <c r="E686" s="3" t="str">
        <f>"Pig the Fibber"</f>
        <v>Pig the Fibber</v>
      </c>
      <c r="F686" s="3" t="str">
        <f>"by Aaron Blabey"</f>
        <v>by Aaron Blabey</v>
      </c>
      <c r="G686" s="3" t="str">
        <f>"Scholastic Press"</f>
        <v>Scholastic Press</v>
      </c>
      <c r="H686" s="2" t="str">
        <f>"2018"</f>
        <v>2018</v>
      </c>
      <c r="I686" s="3" t="str">
        <f>""</f>
        <v/>
      </c>
    </row>
    <row r="687" spans="1:9" x14ac:dyDescent="0.3">
      <c r="A687" s="2">
        <v>686</v>
      </c>
      <c r="B687" s="4" t="s">
        <v>21</v>
      </c>
      <c r="C687" s="3" t="str">
        <f>"TFC000003819"</f>
        <v>TFC000003819</v>
      </c>
      <c r="D687" s="3" t="str">
        <f>"F800-21-0135-(AR 2.0)"</f>
        <v>F800-21-0135-(AR 2.0)</v>
      </c>
      <c r="E687" s="3" t="str">
        <f>"Hello, Arnie! : an Arnie the Doughnut story"</f>
        <v>Hello, Arnie! : an Arnie the Doughnut story</v>
      </c>
      <c r="F687" s="3" t="str">
        <f>"by Laurie Keller"</f>
        <v>by Laurie Keller</v>
      </c>
      <c r="G687" s="3" t="str">
        <f>"Henry Holt and Company Books for Young Readers"</f>
        <v>Henry Holt and Company Books for Young Readers</v>
      </c>
      <c r="H687" s="2" t="str">
        <f>"2020"</f>
        <v>2020</v>
      </c>
      <c r="I687" s="3" t="str">
        <f>""</f>
        <v/>
      </c>
    </row>
    <row r="688" spans="1:9" x14ac:dyDescent="0.3">
      <c r="A688" s="2">
        <v>687</v>
      </c>
      <c r="B688" s="4" t="s">
        <v>21</v>
      </c>
      <c r="C688" s="3" t="str">
        <f>"TFC000003815"</f>
        <v>TFC000003815</v>
      </c>
      <c r="D688" s="3" t="str">
        <f>"F800-21-0134-(AR 2.0)"</f>
        <v>F800-21-0134-(AR 2.0)</v>
      </c>
      <c r="E688" s="3" t="str">
        <f>"Pinkalicious and the pinkettes"</f>
        <v>Pinkalicious and the pinkettes</v>
      </c>
      <c r="F688" s="3" t="str">
        <f>"by Victoria Kann"</f>
        <v>by Victoria Kann</v>
      </c>
      <c r="G688" s="3" t="str">
        <f>"Harper, an imprint of HarperCollins Publishers"</f>
        <v>Harper, an imprint of HarperCollins Publishers</v>
      </c>
      <c r="H688" s="2" t="str">
        <f>"2020"</f>
        <v>2020</v>
      </c>
      <c r="I688" s="3" t="str">
        <f>""</f>
        <v/>
      </c>
    </row>
    <row r="689" spans="1:9" x14ac:dyDescent="0.3">
      <c r="A689" s="2">
        <v>688</v>
      </c>
      <c r="B689" s="4" t="s">
        <v>21</v>
      </c>
      <c r="C689" s="3" t="str">
        <f>"TFC000003684"</f>
        <v>TFC000003684</v>
      </c>
      <c r="D689" s="3" t="str">
        <f>"F800-21-0127-(AR 2.0)"</f>
        <v>F800-21-0127-(AR 2.0)</v>
      </c>
      <c r="E689" s="3" t="str">
        <f>"Our hero"</f>
        <v>Our hero</v>
      </c>
      <c r="F689" s="3" t="str">
        <f>"by Jennifer L. Holm, Matthew Holm"</f>
        <v>by Jennifer L. Holm, Matthew Holm</v>
      </c>
      <c r="G689" s="3" t="str">
        <f>"Random House"</f>
        <v>Random House</v>
      </c>
      <c r="H689" s="2" t="str">
        <f>"2005"</f>
        <v>2005</v>
      </c>
      <c r="I689" s="3" t="str">
        <f>""</f>
        <v/>
      </c>
    </row>
    <row r="690" spans="1:9" x14ac:dyDescent="0.3">
      <c r="A690" s="2">
        <v>689</v>
      </c>
      <c r="B690" s="4" t="s">
        <v>21</v>
      </c>
      <c r="C690" s="3" t="str">
        <f>"TFC000003685"</f>
        <v>TFC000003685</v>
      </c>
      <c r="D690" s="3" t="str">
        <f>"F800-21-0128-(AR 2.0)"</f>
        <v>F800-21-0128-(AR 2.0)</v>
      </c>
      <c r="E690" s="3" t="str">
        <f>"Beach babe"</f>
        <v>Beach babe</v>
      </c>
      <c r="F690" s="3" t="str">
        <f>"by Jennifer L. Holm, Matthew Holm"</f>
        <v>by Jennifer L. Holm, Matthew Holm</v>
      </c>
      <c r="G690" s="3" t="str">
        <f>"Random House"</f>
        <v>Random House</v>
      </c>
      <c r="H690" s="2" t="str">
        <f>"2006"</f>
        <v>2006</v>
      </c>
      <c r="I690" s="3" t="str">
        <f>""</f>
        <v/>
      </c>
    </row>
    <row r="691" spans="1:9" x14ac:dyDescent="0.3">
      <c r="A691" s="2">
        <v>690</v>
      </c>
      <c r="B691" s="4" t="s">
        <v>21</v>
      </c>
      <c r="C691" s="3" t="str">
        <f>"TFC000003687"</f>
        <v>TFC000003687</v>
      </c>
      <c r="D691" s="3" t="str">
        <f>"F800-21-0129-(AR 2.0)"</f>
        <v>F800-21-0129-(AR 2.0)</v>
      </c>
      <c r="E691" s="3" t="str">
        <f>"Heartbreaker"</f>
        <v>Heartbreaker</v>
      </c>
      <c r="F691" s="3" t="str">
        <f>"by Jennifer L. Holm, Matthew Holm"</f>
        <v>by Jennifer L. Holm, Matthew Holm</v>
      </c>
      <c r="G691" s="3" t="str">
        <f>"Random House"</f>
        <v>Random House</v>
      </c>
      <c r="H691" s="2" t="str">
        <f>"2006"</f>
        <v>2006</v>
      </c>
      <c r="I691" s="3" t="str">
        <f>""</f>
        <v/>
      </c>
    </row>
    <row r="692" spans="1:9" x14ac:dyDescent="0.3">
      <c r="A692" s="2">
        <v>691</v>
      </c>
      <c r="B692" s="4" t="s">
        <v>21</v>
      </c>
      <c r="C692" s="3" t="str">
        <f>"TFC000003688"</f>
        <v>TFC000003688</v>
      </c>
      <c r="D692" s="3" t="str">
        <f>"F800-21-0130-(AR 2.0)"</f>
        <v>F800-21-0130-(AR 2.0)</v>
      </c>
      <c r="E692" s="3" t="str">
        <f>"Camp babymouse"</f>
        <v>Camp babymouse</v>
      </c>
      <c r="F692" s="3" t="str">
        <f>"by Jennifer L. Holm, Matthew Holm"</f>
        <v>by Jennifer L. Holm, Matthew Holm</v>
      </c>
      <c r="G692" s="3" t="str">
        <f>"Random House"</f>
        <v>Random House</v>
      </c>
      <c r="H692" s="2" t="str">
        <f>"2007"</f>
        <v>2007</v>
      </c>
      <c r="I692" s="3" t="str">
        <f>""</f>
        <v/>
      </c>
    </row>
    <row r="693" spans="1:9" x14ac:dyDescent="0.3">
      <c r="A693" s="2">
        <v>692</v>
      </c>
      <c r="B693" s="4" t="s">
        <v>21</v>
      </c>
      <c r="C693" s="3" t="str">
        <f>"TFC000003703"</f>
        <v>TFC000003703</v>
      </c>
      <c r="D693" s="3" t="str">
        <f>"F800-21-0131-(AR 2.0)"</f>
        <v>F800-21-0131-(AR 2.0)</v>
      </c>
      <c r="E693" s="3" t="str">
        <f>"Hello, mandarin duck!"</f>
        <v>Hello, mandarin duck!</v>
      </c>
      <c r="F693" s="3" t="str">
        <f>"written by Bao Phi ; illustrated by Dion MBD"</f>
        <v>written by Bao Phi ; illustrated by Dion MBD</v>
      </c>
      <c r="G693" s="3" t="str">
        <f>"Capstone Editions"</f>
        <v>Capstone Editions</v>
      </c>
      <c r="H693" s="2" t="str">
        <f>"2021"</f>
        <v>2021</v>
      </c>
      <c r="I693" s="3" t="str">
        <f>""</f>
        <v/>
      </c>
    </row>
    <row r="694" spans="1:9" x14ac:dyDescent="0.3">
      <c r="A694" s="2">
        <v>693</v>
      </c>
      <c r="B694" s="4" t="s">
        <v>21</v>
      </c>
      <c r="C694" s="3" t="str">
        <f>"TFC000003704"</f>
        <v>TFC000003704</v>
      </c>
      <c r="D694" s="3" t="str">
        <f>"F800-21-0132-(AR 2.0)"</f>
        <v>F800-21-0132-(AR 2.0)</v>
      </c>
      <c r="E694" s="3" t="str">
        <f>"Jack at the Zoo"</f>
        <v>Jack at the Zoo</v>
      </c>
      <c r="F694" s="3" t="str">
        <f>"by Mac Barnett ; illustrated by Greg Pizzoli"</f>
        <v>by Mac Barnett ; illustrated by Greg Pizzoli</v>
      </c>
      <c r="G694" s="3" t="str">
        <f>"Viking"</f>
        <v>Viking</v>
      </c>
      <c r="H694" s="2" t="str">
        <f>"2020"</f>
        <v>2020</v>
      </c>
      <c r="I694" s="3" t="str">
        <f>""</f>
        <v/>
      </c>
    </row>
    <row r="695" spans="1:9" x14ac:dyDescent="0.3">
      <c r="A695" s="2">
        <v>694</v>
      </c>
      <c r="B695" s="4" t="s">
        <v>21</v>
      </c>
      <c r="C695" s="3" t="str">
        <f>"TFC000003958"</f>
        <v>TFC000003958</v>
      </c>
      <c r="D695" s="3" t="str">
        <f>"F800-21-0136-(AR 2.0)"</f>
        <v>F800-21-0136-(AR 2.0)</v>
      </c>
      <c r="E695" s="3" t="str">
        <f>"Pool Party!"</f>
        <v>Pool Party!</v>
      </c>
      <c r="F695" s="3" t="str">
        <f>"by Doreen Cronin, illustrated by Betsy Lewin"</f>
        <v>by Doreen Cronin, illustrated by Betsy Lewin</v>
      </c>
      <c r="G695" s="3" t="str">
        <f>"Simon Spotlight"</f>
        <v>Simon Spotlight</v>
      </c>
      <c r="H695" s="2" t="str">
        <f>"2020"</f>
        <v>2020</v>
      </c>
      <c r="I695" s="3" t="str">
        <f>""</f>
        <v/>
      </c>
    </row>
    <row r="696" spans="1:9" x14ac:dyDescent="0.3">
      <c r="A696" s="2">
        <v>695</v>
      </c>
      <c r="B696" s="4" t="s">
        <v>21</v>
      </c>
      <c r="C696" s="3" t="str">
        <f>"TFC000004032"</f>
        <v>TFC000004032</v>
      </c>
      <c r="D696" s="3" t="str">
        <f>"F800-21-0137-(AR 2.0)"</f>
        <v>F800-21-0137-(AR 2.0)</v>
      </c>
      <c r="E696" s="3" t="str">
        <f>"Noodleheads Do the Impossible : From the guy who does fly guy!"</f>
        <v>Noodleheads Do the Impossible : From the guy who does fly guy!</v>
      </c>
      <c r="F696" s="3" t="str">
        <f>"by Tedd Arnold, Martha Hamilton, Mitch Weiss, illustrated by Mitch Weiss"</f>
        <v>by Tedd Arnold, Martha Hamilton, Mitch Weiss, illustrated by Mitch Weiss</v>
      </c>
      <c r="G696" s="3" t="str">
        <f>"Holiday House"</f>
        <v>Holiday House</v>
      </c>
      <c r="H696" s="2" t="str">
        <f>"2021"</f>
        <v>2021</v>
      </c>
      <c r="I696" s="3" t="str">
        <f>""</f>
        <v/>
      </c>
    </row>
    <row r="697" spans="1:9" x14ac:dyDescent="0.3">
      <c r="A697" s="2">
        <v>696</v>
      </c>
      <c r="B697" s="4" t="s">
        <v>21</v>
      </c>
      <c r="C697" s="3" t="str">
        <f>"TFC000004390"</f>
        <v>TFC000004390</v>
      </c>
      <c r="D697" s="3" t="str">
        <f>"F800-22-0199-(AR 2.0)"</f>
        <v>F800-22-0199-(AR 2.0)</v>
      </c>
      <c r="E697" s="3" t="str">
        <f>"Little Plane learns to write"</f>
        <v>Little Plane learns to write</v>
      </c>
      <c r="F697" s="3" t="str">
        <f>"by Stephen Savage"</f>
        <v>by Stephen Savage</v>
      </c>
      <c r="G697" s="3" t="str">
        <f>"Roaring Brook Press"</f>
        <v>Roaring Brook Press</v>
      </c>
      <c r="H697" s="2" t="str">
        <f>"2017"</f>
        <v>2017</v>
      </c>
      <c r="I697" s="3" t="str">
        <f>""</f>
        <v/>
      </c>
    </row>
    <row r="698" spans="1:9" x14ac:dyDescent="0.3">
      <c r="A698" s="2">
        <v>697</v>
      </c>
      <c r="B698" s="4" t="s">
        <v>21</v>
      </c>
      <c r="C698" s="3" t="str">
        <f>"TFC000004392"</f>
        <v>TFC000004392</v>
      </c>
      <c r="D698" s="3" t="str">
        <f>"F300-22-0201-(AR 2.0)"</f>
        <v>F300-22-0201-(AR 2.0)</v>
      </c>
      <c r="E698" s="3" t="str">
        <f>"About 100 Years Ago"</f>
        <v>About 100 Years Ago</v>
      </c>
      <c r="F698" s="3" t="str">
        <f>"by Lisa Trumbaue"</f>
        <v>by Lisa Trumbaue</v>
      </c>
      <c r="G698" s="3" t="str">
        <f>"Red Brick Learning"</f>
        <v>Red Brick Learning</v>
      </c>
      <c r="H698" s="2" t="str">
        <f>"2011"</f>
        <v>2011</v>
      </c>
      <c r="I698" s="3" t="str">
        <f>""</f>
        <v/>
      </c>
    </row>
    <row r="699" spans="1:9" x14ac:dyDescent="0.3">
      <c r="A699" s="2">
        <v>698</v>
      </c>
      <c r="B699" s="4" t="s">
        <v>21</v>
      </c>
      <c r="C699" s="3" t="str">
        <f>"TFC000004393"</f>
        <v>TFC000004393</v>
      </c>
      <c r="D699" s="3" t="str">
        <f>"F400-22-0202-(AR 2.0)"</f>
        <v>F400-22-0202-(AR 2.0)</v>
      </c>
      <c r="E699" s="3" t="str">
        <f>"Earth'S Land and Water"</f>
        <v>Earth'S Land and Water</v>
      </c>
      <c r="F699" s="3" t="str">
        <f>"by Bonnie Beers"</f>
        <v>by Bonnie Beers</v>
      </c>
      <c r="G699" s="3" t="str">
        <f>"Red Brick Learning"</f>
        <v>Red Brick Learning</v>
      </c>
      <c r="H699" s="2" t="str">
        <f>"2001"</f>
        <v>2001</v>
      </c>
      <c r="I699" s="3" t="str">
        <f>""</f>
        <v/>
      </c>
    </row>
    <row r="700" spans="1:9" x14ac:dyDescent="0.3">
      <c r="A700" s="2">
        <v>699</v>
      </c>
      <c r="B700" s="4" t="s">
        <v>21</v>
      </c>
      <c r="C700" s="3" t="str">
        <f>"TFC000004394"</f>
        <v>TFC000004394</v>
      </c>
      <c r="D700" s="3" t="str">
        <f>"F300-22-0203-(AR 2.0)"</f>
        <v>F300-22-0203-(AR 2.0)</v>
      </c>
      <c r="E700" s="3" t="str">
        <f>"Martin Luther King, Jr. Day"</f>
        <v>Martin Luther King, Jr. Day</v>
      </c>
      <c r="F700" s="3" t="str">
        <f>"by Helen Frost"</f>
        <v>by Helen Frost</v>
      </c>
      <c r="G700" s="3" t="str">
        <f>"Pebble Books"</f>
        <v>Pebble Books</v>
      </c>
      <c r="H700" s="2" t="str">
        <f>"2000"</f>
        <v>2000</v>
      </c>
      <c r="I700" s="3" t="str">
        <f>""</f>
        <v/>
      </c>
    </row>
    <row r="701" spans="1:9" x14ac:dyDescent="0.3">
      <c r="A701" s="2">
        <v>700</v>
      </c>
      <c r="B701" s="4" t="s">
        <v>21</v>
      </c>
      <c r="C701" s="3" t="str">
        <f>"TFC000004340"</f>
        <v>TFC000004340</v>
      </c>
      <c r="D701" s="3" t="str">
        <f>"F800-22-0149-(AR2.0)"</f>
        <v>F800-22-0149-(AR2.0)</v>
      </c>
      <c r="E701" s="3" t="str">
        <f>"Willy the Wimp"</f>
        <v>Willy the Wimp</v>
      </c>
      <c r="F701" s="3" t="str">
        <f>"by Anthony Browne"</f>
        <v>by Anthony Browne</v>
      </c>
      <c r="G701" s="3" t="str">
        <f>"Walker Books"</f>
        <v>Walker Books</v>
      </c>
      <c r="H701" s="2" t="str">
        <f>"2014"</f>
        <v>2014</v>
      </c>
      <c r="I701" s="3" t="str">
        <f>""</f>
        <v/>
      </c>
    </row>
    <row r="702" spans="1:9" x14ac:dyDescent="0.3">
      <c r="A702" s="2">
        <v>701</v>
      </c>
      <c r="B702" s="4" t="s">
        <v>21</v>
      </c>
      <c r="C702" s="3" t="str">
        <f>"TFC000004924"</f>
        <v>TFC000004924</v>
      </c>
      <c r="D702" s="3" t="str">
        <f>"F100-23-0028-(AR2.0)"</f>
        <v>F100-23-0028-(AR2.0)</v>
      </c>
      <c r="E702" s="3" t="str">
        <f>"Feelings"</f>
        <v>Feelings</v>
      </c>
      <c r="F702" s="3" t="str">
        <f>"by Aliki"</f>
        <v>by Aliki</v>
      </c>
      <c r="G702" s="3" t="str">
        <f>"GreenWillow Books"</f>
        <v>GreenWillow Books</v>
      </c>
      <c r="H702" s="2" t="str">
        <f>"1984"</f>
        <v>1984</v>
      </c>
      <c r="I702" s="3" t="str">
        <f>""</f>
        <v/>
      </c>
    </row>
    <row r="703" spans="1:9" x14ac:dyDescent="0.3">
      <c r="A703" s="2">
        <v>702</v>
      </c>
      <c r="B703" s="4" t="s">
        <v>21</v>
      </c>
      <c r="C703" s="3" t="str">
        <f>"TFC000004427"</f>
        <v>TFC000004427</v>
      </c>
      <c r="D703" s="3" t="str">
        <f>"F800-22-0236-(AR2.0)"</f>
        <v>F800-22-0236-(AR2.0)</v>
      </c>
      <c r="E703" s="3" t="str">
        <f>"Pinkalicious and the Robo-Pup"</f>
        <v>Pinkalicious and the Robo-Pup</v>
      </c>
      <c r="F703" s="3" t="str">
        <f>"by Victoria"</f>
        <v>by Victoria</v>
      </c>
      <c r="G703" s="3" t="str">
        <f>"Harper"</f>
        <v>Harper</v>
      </c>
      <c r="H703" s="2" t="str">
        <f>"2021"</f>
        <v>2021</v>
      </c>
      <c r="I703" s="3" t="str">
        <f>""</f>
        <v/>
      </c>
    </row>
    <row r="704" spans="1:9" x14ac:dyDescent="0.3">
      <c r="A704" s="2">
        <v>703</v>
      </c>
      <c r="B704" s="4" t="s">
        <v>21</v>
      </c>
      <c r="C704" s="3" t="str">
        <f>"TFC000004428"</f>
        <v>TFC000004428</v>
      </c>
      <c r="D704" s="3" t="str">
        <f>"F800-22-0237-(AR2.0)"</f>
        <v>F800-22-0237-(AR2.0)</v>
      </c>
      <c r="E704" s="3" t="str">
        <f>"There's a lion in the forest!"</f>
        <v>There's a lion in the forest!</v>
      </c>
      <c r="F704" s="3" t="str">
        <f>"by Monica Carnesi"</f>
        <v>by Monica Carnesi</v>
      </c>
      <c r="G704" s="3" t="str">
        <f>"Nancy Paulsen Books"</f>
        <v>Nancy Paulsen Books</v>
      </c>
      <c r="H704" s="2" t="str">
        <f>"2022"</f>
        <v>2022</v>
      </c>
      <c r="I704" s="3" t="str">
        <f>""</f>
        <v/>
      </c>
    </row>
    <row r="705" spans="1:9" x14ac:dyDescent="0.3">
      <c r="A705" s="2">
        <v>704</v>
      </c>
      <c r="B705" s="4" t="s">
        <v>21</v>
      </c>
      <c r="C705" s="3" t="str">
        <f>"TFC000004656"</f>
        <v>TFC000004656</v>
      </c>
      <c r="D705" s="3" t="str">
        <f>"F800-22-0465-(AR2.0)"</f>
        <v>F800-22-0465-(AR2.0)</v>
      </c>
      <c r="E705" s="3" t="str">
        <f>"Llama Llama meets the babysitter"</f>
        <v>Llama Llama meets the babysitter</v>
      </c>
      <c r="F705" s="3" t="str">
        <f>"by Anna Dewdney"</f>
        <v>by Anna Dewdney</v>
      </c>
      <c r="G705" s="3" t="str">
        <f>"Viking"</f>
        <v>Viking</v>
      </c>
      <c r="H705" s="2" t="str">
        <f>"2021"</f>
        <v>2021</v>
      </c>
      <c r="I705" s="3" t="str">
        <f>""</f>
        <v/>
      </c>
    </row>
    <row r="706" spans="1:9" x14ac:dyDescent="0.3">
      <c r="A706" s="2">
        <v>705</v>
      </c>
      <c r="B706" s="4" t="s">
        <v>21</v>
      </c>
      <c r="C706" s="3" t="str">
        <f>"TFC000004657"</f>
        <v>TFC000004657</v>
      </c>
      <c r="D706" s="3" t="str">
        <f>"F800-22-0466-(AR2.0)"</f>
        <v>F800-22-0466-(AR2.0)</v>
      </c>
      <c r="E706" s="3" t="str">
        <f>"My Fourth of July"</f>
        <v>My Fourth of July</v>
      </c>
      <c r="F706" s="3" t="str">
        <f>"by Jerry Spinelli, Illustrated by Larry Day"</f>
        <v>by Jerry Spinelli, Illustrated by Larry Day</v>
      </c>
      <c r="G706" s="3" t="str">
        <f>"Holiday House"</f>
        <v>Holiday House</v>
      </c>
      <c r="H706" s="2" t="str">
        <f>"[2019]"</f>
        <v>[2019]</v>
      </c>
      <c r="I706" s="3" t="str">
        <f>""</f>
        <v/>
      </c>
    </row>
    <row r="707" spans="1:9" x14ac:dyDescent="0.3">
      <c r="A707" s="2">
        <v>706</v>
      </c>
      <c r="B707" s="4" t="s">
        <v>21</v>
      </c>
      <c r="C707" s="3" t="str">
        <f>"TFC000004658"</f>
        <v>TFC000004658</v>
      </c>
      <c r="D707" s="3" t="str">
        <f>"F800-22-0467-(AR2.0)"</f>
        <v>F800-22-0467-(AR2.0)</v>
      </c>
      <c r="E707" s="3" t="str">
        <f>"We're going on a goon hunt : a petrifying parody"</f>
        <v>We're going on a goon hunt : a petrifying parody</v>
      </c>
      <c r="F707" s="3" t="str">
        <f>"by Michael Rex"</f>
        <v>by Michael Rex</v>
      </c>
      <c r="G707" s="3" t="str">
        <f>"G.P. Putnam's Sons"</f>
        <v>G.P. Putnam's Sons</v>
      </c>
      <c r="H707" s="2" t="str">
        <f>"2020"</f>
        <v>2020</v>
      </c>
      <c r="I707" s="3" t="str">
        <f>""</f>
        <v/>
      </c>
    </row>
    <row r="708" spans="1:9" x14ac:dyDescent="0.3">
      <c r="A708" s="2">
        <v>707</v>
      </c>
      <c r="B708" s="4" t="s">
        <v>22</v>
      </c>
      <c r="C708" s="3" t="str">
        <f>"TFC000000537"</f>
        <v>TFC000000537</v>
      </c>
      <c r="D708" s="3" t="str">
        <f>"F800-20-0582-(AR 2.1)"</f>
        <v>F800-20-0582-(AR 2.1)</v>
      </c>
      <c r="E708" s="3" t="str">
        <f>"Fancy Nancy, poison ivy expert"</f>
        <v>Fancy Nancy, poison ivy expert</v>
      </c>
      <c r="F708" s="3" t="str">
        <f>"by Jane O'connor ; pictures based on the art of Robin Preiss Glasser"</f>
        <v>by Jane O'connor ; pictures based on the art of Robin Preiss Glasser</v>
      </c>
      <c r="G708" s="3" t="str">
        <f>"HarperCollins Publishers"</f>
        <v>HarperCollins Publishers</v>
      </c>
      <c r="H708" s="2" t="str">
        <f>"2011"</f>
        <v>2011</v>
      </c>
      <c r="I708" s="2" t="s">
        <v>2</v>
      </c>
    </row>
    <row r="709" spans="1:9" x14ac:dyDescent="0.3">
      <c r="A709" s="2">
        <v>708</v>
      </c>
      <c r="B709" s="4" t="s">
        <v>22</v>
      </c>
      <c r="C709" s="3" t="str">
        <f>"TFC000000522"</f>
        <v>TFC000000522</v>
      </c>
      <c r="D709" s="3" t="str">
        <f>"F800-20-0567-(AR 2.1)"</f>
        <v>F800-20-0567-(AR 2.1)</v>
      </c>
      <c r="E709" s="3" t="str">
        <f>"(The)king who rained"</f>
        <v>(The)king who rained</v>
      </c>
      <c r="F709" s="3" t="str">
        <f>"by Fred Gwynne"</f>
        <v>by Fred Gwynne</v>
      </c>
      <c r="G709" s="3" t="str">
        <f>"Aladdin Paperbacks"</f>
        <v>Aladdin Paperbacks</v>
      </c>
      <c r="H709" s="2" t="str">
        <f>"1980"</f>
        <v>1980</v>
      </c>
      <c r="I709" s="3" t="str">
        <f>""</f>
        <v/>
      </c>
    </row>
    <row r="710" spans="1:9" x14ac:dyDescent="0.3">
      <c r="A710" s="2">
        <v>709</v>
      </c>
      <c r="B710" s="4" t="s">
        <v>22</v>
      </c>
      <c r="C710" s="3" t="str">
        <f>"TFC000000523"</f>
        <v>TFC000000523</v>
      </c>
      <c r="D710" s="3" t="str">
        <f>"F800-20-0568-(AR 2.1)"</f>
        <v>F800-20-0568-(AR 2.1)</v>
      </c>
      <c r="E710" s="3" t="str">
        <f>"When I was five"</f>
        <v>When I was five</v>
      </c>
      <c r="F710" s="3" t="str">
        <f>"by Arthur Howard"</f>
        <v>by Arthur Howard</v>
      </c>
      <c r="G710" s="3" t="str">
        <f>"Voyager Books"</f>
        <v>Voyager Books</v>
      </c>
      <c r="H710" s="2" t="str">
        <f>"1999"</f>
        <v>1999</v>
      </c>
      <c r="I710" s="3" t="str">
        <f>""</f>
        <v/>
      </c>
    </row>
    <row r="711" spans="1:9" x14ac:dyDescent="0.3">
      <c r="A711" s="2">
        <v>710</v>
      </c>
      <c r="B711" s="4" t="s">
        <v>22</v>
      </c>
      <c r="C711" s="3" t="str">
        <f>"TFC000000524"</f>
        <v>TFC000000524</v>
      </c>
      <c r="D711" s="3" t="str">
        <f>"F800-20-0569-(AR 2.1)"</f>
        <v>F800-20-0569-(AR 2.1)</v>
      </c>
      <c r="E711" s="3" t="str">
        <f>"This is our house"</f>
        <v>This is our house</v>
      </c>
      <c r="F711" s="3" t="str">
        <f>"by Michael Rosen ; illustrated by Bob Graham"</f>
        <v>by Michael Rosen ; illustrated by Bob Graham</v>
      </c>
      <c r="G711" s="3" t="str">
        <f>"Candlewick Press"</f>
        <v>Candlewick Press</v>
      </c>
      <c r="H711" s="2" t="str">
        <f>"2005"</f>
        <v>2005</v>
      </c>
      <c r="I711" s="3" t="str">
        <f>""</f>
        <v/>
      </c>
    </row>
    <row r="712" spans="1:9" x14ac:dyDescent="0.3">
      <c r="A712" s="2">
        <v>711</v>
      </c>
      <c r="B712" s="4" t="s">
        <v>22</v>
      </c>
      <c r="C712" s="3" t="str">
        <f>"TFC000000525"</f>
        <v>TFC000000525</v>
      </c>
      <c r="D712" s="3" t="str">
        <f>"F800-20-0570-(AR 2.1)"</f>
        <v>F800-20-0570-(AR 2.1)</v>
      </c>
      <c r="E712" s="3" t="str">
        <f>"Max attacks"</f>
        <v>Max attacks</v>
      </c>
      <c r="F712" s="3" t="str">
        <f>"Kathi Appelt ; pictures by Penelope Dullaghan"</f>
        <v>Kathi Appelt ; pictures by Penelope Dullaghan</v>
      </c>
      <c r="G712" s="3" t="str">
        <f>"Atheneum Books for Young Readers"</f>
        <v>Atheneum Books for Young Readers</v>
      </c>
      <c r="H712" s="2" t="str">
        <f>"2019"</f>
        <v>2019</v>
      </c>
      <c r="I712" s="3" t="str">
        <f>""</f>
        <v/>
      </c>
    </row>
    <row r="713" spans="1:9" x14ac:dyDescent="0.3">
      <c r="A713" s="2">
        <v>712</v>
      </c>
      <c r="B713" s="4" t="s">
        <v>22</v>
      </c>
      <c r="C713" s="3" t="str">
        <f>"TFC000000526"</f>
        <v>TFC000000526</v>
      </c>
      <c r="D713" s="3" t="str">
        <f>"F800-20-0571-(AR 2.1)"</f>
        <v>F800-20-0571-(AR 2.1)</v>
      </c>
      <c r="E713" s="3" t="str">
        <f>"Daniel's good day"</f>
        <v>Daniel's good day</v>
      </c>
      <c r="F713" s="3" t="str">
        <f>"Micha Archer"</f>
        <v>Micha Archer</v>
      </c>
      <c r="G713" s="3" t="str">
        <f>"Nancy Paulsen Books"</f>
        <v>Nancy Paulsen Books</v>
      </c>
      <c r="H713" s="2" t="str">
        <f>"2019"</f>
        <v>2019</v>
      </c>
      <c r="I713" s="3" t="str">
        <f>""</f>
        <v/>
      </c>
    </row>
    <row r="714" spans="1:9" x14ac:dyDescent="0.3">
      <c r="A714" s="2">
        <v>713</v>
      </c>
      <c r="B714" s="4" t="s">
        <v>22</v>
      </c>
      <c r="C714" s="3" t="str">
        <f>"TFC000000528"</f>
        <v>TFC000000528</v>
      </c>
      <c r="D714" s="3" t="str">
        <f>"F800-20-0573-(AR 2.1)"</f>
        <v>F800-20-0573-(AR 2.1)</v>
      </c>
      <c r="E714" s="3" t="str">
        <f>"Dear deer : a book of homophones"</f>
        <v>Dear deer : a book of homophones</v>
      </c>
      <c r="F714" s="3" t="str">
        <f>"Gene Barretta"</f>
        <v>Gene Barretta</v>
      </c>
      <c r="G714" s="3" t="str">
        <f>"Henry Holt and Company"</f>
        <v>Henry Holt and Company</v>
      </c>
      <c r="H714" s="2" t="str">
        <f>"2010"</f>
        <v>2010</v>
      </c>
      <c r="I714" s="3" t="str">
        <f>""</f>
        <v/>
      </c>
    </row>
    <row r="715" spans="1:9" x14ac:dyDescent="0.3">
      <c r="A715" s="2">
        <v>714</v>
      </c>
      <c r="B715" s="4" t="s">
        <v>22</v>
      </c>
      <c r="C715" s="3" t="str">
        <f>"TFC000000529"</f>
        <v>TFC000000529</v>
      </c>
      <c r="D715" s="3" t="str">
        <f>"F800-20-0574-(AR 2.1)"</f>
        <v>F800-20-0574-(AR 2.1)</v>
      </c>
      <c r="E715" s="3" t="str">
        <f>"Llama llama mess, mess, mess"</f>
        <v>Llama llama mess, mess, mess</v>
      </c>
      <c r="F715" s="3" t="str">
        <f>"by Anna Dewdney, Reed Duncan ; illustrated by JT Morrow"</f>
        <v>by Anna Dewdney, Reed Duncan ; illustrated by JT Morrow</v>
      </c>
      <c r="G715" s="3" t="str">
        <f>"Viking"</f>
        <v>Viking</v>
      </c>
      <c r="H715" s="2" t="str">
        <f>"2019"</f>
        <v>2019</v>
      </c>
      <c r="I715" s="3" t="str">
        <f>""</f>
        <v/>
      </c>
    </row>
    <row r="716" spans="1:9" x14ac:dyDescent="0.3">
      <c r="A716" s="2">
        <v>715</v>
      </c>
      <c r="B716" s="4" t="s">
        <v>22</v>
      </c>
      <c r="C716" s="3" t="str">
        <f>"TFC000000530"</f>
        <v>TFC000000530</v>
      </c>
      <c r="D716" s="3" t="str">
        <f>"F800-20-0575-(AR 2.1)"</f>
        <v>F800-20-0575-(AR 2.1)</v>
      </c>
      <c r="E716" s="3" t="str">
        <f>"Race for the ring"</f>
        <v>Race for the ring</v>
      </c>
      <c r="F716" s="3" t="str">
        <f>"Delphine Finnegan"</f>
        <v>Delphine Finnegan</v>
      </c>
      <c r="G716" s="3" t="str">
        <f>"Simon Spotlight"</f>
        <v>Simon Spotlight</v>
      </c>
      <c r="H716" s="2" t="str">
        <f>"2019"</f>
        <v>2019</v>
      </c>
      <c r="I716" s="3" t="str">
        <f>""</f>
        <v/>
      </c>
    </row>
    <row r="717" spans="1:9" x14ac:dyDescent="0.3">
      <c r="A717" s="2">
        <v>716</v>
      </c>
      <c r="B717" s="4" t="s">
        <v>22</v>
      </c>
      <c r="C717" s="3" t="str">
        <f>"TFC000000531"</f>
        <v>TFC000000531</v>
      </c>
      <c r="D717" s="3" t="str">
        <f>"F800-20-0576-(AR 2.1)"</f>
        <v>F800-20-0576-(AR 2.1)</v>
      </c>
      <c r="E717" s="3" t="str">
        <f>"(The)traveling dustball"</f>
        <v>(The)traveling dustball</v>
      </c>
      <c r="F717" s="3" t="str">
        <f>"written by Judith Henderson ; illustrated by T. L. McBeth"</f>
        <v>written by Judith Henderson ; illustrated by T. L. McBeth</v>
      </c>
      <c r="G717" s="3" t="str">
        <f>"Kids Can Press"</f>
        <v>Kids Can Press</v>
      </c>
      <c r="H717" s="2" t="str">
        <f>"2019"</f>
        <v>2019</v>
      </c>
      <c r="I717" s="3" t="str">
        <f>""</f>
        <v/>
      </c>
    </row>
    <row r="718" spans="1:9" x14ac:dyDescent="0.3">
      <c r="A718" s="2">
        <v>717</v>
      </c>
      <c r="B718" s="4" t="s">
        <v>22</v>
      </c>
      <c r="C718" s="3" t="str">
        <f>"TFC000000532"</f>
        <v>TFC000000532</v>
      </c>
      <c r="D718" s="3" t="str">
        <f>"F800-20-0577-(AR 2.1)"</f>
        <v>F800-20-0577-(AR 2.1)</v>
      </c>
      <c r="E718" s="3" t="str">
        <f>"Birds"</f>
        <v>Birds</v>
      </c>
      <c r="F718" s="3" t="str">
        <f>"Kevin Henkes ; illustrated by Laura Dronzek"</f>
        <v>Kevin Henkes ; illustrated by Laura Dronzek</v>
      </c>
      <c r="G718" s="3" t="str">
        <f>"Greenwillow Books"</f>
        <v>Greenwillow Books</v>
      </c>
      <c r="H718" s="2" t="str">
        <f>"2009"</f>
        <v>2009</v>
      </c>
      <c r="I718" s="3" t="str">
        <f>""</f>
        <v/>
      </c>
    </row>
    <row r="719" spans="1:9" x14ac:dyDescent="0.3">
      <c r="A719" s="2">
        <v>718</v>
      </c>
      <c r="B719" s="4" t="s">
        <v>22</v>
      </c>
      <c r="C719" s="3" t="str">
        <f>"TFC000000533"</f>
        <v>TFC000000533</v>
      </c>
      <c r="D719" s="3" t="str">
        <f>"F800-20-0578-(AR 2.1)"</f>
        <v>F800-20-0578-(AR 2.1)</v>
      </c>
      <c r="E719" s="3" t="str">
        <f>"(The)color monster : a story about emotions"</f>
        <v>(The)color monster : a story about emotions</v>
      </c>
      <c r="F719" s="3" t="str">
        <f>"Anna Llenas"</f>
        <v>Anna Llenas</v>
      </c>
      <c r="G719" s="3" t="str">
        <f>"Little, Brown and Company"</f>
        <v>Little, Brown and Company</v>
      </c>
      <c r="H719" s="2" t="str">
        <f>"2018"</f>
        <v>2018</v>
      </c>
      <c r="I719" s="3" t="str">
        <f>""</f>
        <v/>
      </c>
    </row>
    <row r="720" spans="1:9" x14ac:dyDescent="0.3">
      <c r="A720" s="2">
        <v>719</v>
      </c>
      <c r="B720" s="4" t="s">
        <v>22</v>
      </c>
      <c r="C720" s="3" t="str">
        <f>"TFC000000534"</f>
        <v>TFC000000534</v>
      </c>
      <c r="D720" s="3" t="str">
        <f>"F800-20-0579-(AR 2.1)"</f>
        <v>F800-20-0579-(AR 2.1)</v>
      </c>
      <c r="E720" s="3" t="str">
        <f>"Katie and the haunted museum"</f>
        <v>Katie and the haunted museum</v>
      </c>
      <c r="F720" s="3" t="str">
        <f>"by Fran Manushkin ; illustrated by Tammie Lyon"</f>
        <v>by Fran Manushkin ; illustrated by Tammie Lyon</v>
      </c>
      <c r="G720" s="3" t="str">
        <f>"Picture Window Books"</f>
        <v>Picture Window Books</v>
      </c>
      <c r="H720" s="2" t="str">
        <f>"2019"</f>
        <v>2019</v>
      </c>
      <c r="I720" s="3" t="str">
        <f>""</f>
        <v/>
      </c>
    </row>
    <row r="721" spans="1:9" x14ac:dyDescent="0.3">
      <c r="A721" s="2">
        <v>720</v>
      </c>
      <c r="B721" s="4" t="s">
        <v>22</v>
      </c>
      <c r="C721" s="3" t="str">
        <f>"TFC000000535"</f>
        <v>TFC000000535</v>
      </c>
      <c r="D721" s="3" t="str">
        <f>"F800-20-0580-(AR 2.1)"</f>
        <v>F800-20-0580-(AR 2.1)</v>
      </c>
      <c r="E721" s="3" t="str">
        <f>"Katie's vet loves pets"</f>
        <v>Katie's vet loves pets</v>
      </c>
      <c r="F721" s="3" t="str">
        <f>"by Fran Manushkin ; illustrated by Laura Zarrin"</f>
        <v>by Fran Manushkin ; illustrated by Laura Zarrin</v>
      </c>
      <c r="G721" s="3" t="str">
        <f>"Picture Window Books"</f>
        <v>Picture Window Books</v>
      </c>
      <c r="H721" s="2" t="str">
        <f>"2020"</f>
        <v>2020</v>
      </c>
      <c r="I721" s="3" t="str">
        <f>""</f>
        <v/>
      </c>
    </row>
    <row r="722" spans="1:9" x14ac:dyDescent="0.3">
      <c r="A722" s="2">
        <v>721</v>
      </c>
      <c r="B722" s="4" t="s">
        <v>22</v>
      </c>
      <c r="C722" s="3" t="str">
        <f>"TFC000000536"</f>
        <v>TFC000000536</v>
      </c>
      <c r="D722" s="3" t="str">
        <f>"F800-20-0581-(AR 2.1)"</f>
        <v>F800-20-0581-(AR 2.1)</v>
      </c>
      <c r="E722" s="3" t="str">
        <f>"If you give a dog a donut"</f>
        <v>If you give a dog a donut</v>
      </c>
      <c r="F722" s="3" t="str">
        <f>"written by Laura Numeroff ; illustrated by Felicia Bond"</f>
        <v>written by Laura Numeroff ; illustrated by Felicia Bond</v>
      </c>
      <c r="G722" s="3" t="str">
        <f>"Balzer &amp; Bray"</f>
        <v>Balzer &amp; Bray</v>
      </c>
      <c r="H722" s="2" t="str">
        <f>"2011"</f>
        <v>2011</v>
      </c>
      <c r="I722" s="3" t="str">
        <f>""</f>
        <v/>
      </c>
    </row>
    <row r="723" spans="1:9" x14ac:dyDescent="0.3">
      <c r="A723" s="2">
        <v>722</v>
      </c>
      <c r="B723" s="4" t="s">
        <v>22</v>
      </c>
      <c r="C723" s="3" t="str">
        <f>"TFC000000538"</f>
        <v>TFC000000538</v>
      </c>
      <c r="D723" s="3" t="str">
        <f>"F800-20-0583-(AR 2.1)"</f>
        <v>F800-20-0583-(AR 2.1)</v>
      </c>
      <c r="E723" s="3" t="str">
        <f>"Ish"</f>
        <v>Ish</v>
      </c>
      <c r="F723" s="3" t="str">
        <f>"Peter H. Reynolds"</f>
        <v>Peter H. Reynolds</v>
      </c>
      <c r="G723" s="3" t="str">
        <f>"Walker Books"</f>
        <v>Walker Books</v>
      </c>
      <c r="H723" s="2" t="str">
        <f>"2005"</f>
        <v>2005</v>
      </c>
      <c r="I723" s="3" t="str">
        <f>""</f>
        <v/>
      </c>
    </row>
    <row r="724" spans="1:9" x14ac:dyDescent="0.3">
      <c r="A724" s="2">
        <v>723</v>
      </c>
      <c r="B724" s="4" t="s">
        <v>22</v>
      </c>
      <c r="C724" s="3" t="str">
        <f>"TFC000000539"</f>
        <v>TFC000000539</v>
      </c>
      <c r="D724" s="3" t="str">
        <f>"F800-20-0584-(AR 2.1)"</f>
        <v>F800-20-0584-(AR 2.1)</v>
      </c>
      <c r="E724" s="3" t="str">
        <f>"Roy digs dirt"</f>
        <v>Roy digs dirt</v>
      </c>
      <c r="F724" s="3" t="str">
        <f>"David Shannon"</f>
        <v>David Shannon</v>
      </c>
      <c r="G724" s="3" t="str">
        <f>"Blue Sky Press"</f>
        <v>Blue Sky Press</v>
      </c>
      <c r="H724" s="2" t="str">
        <f>"2020"</f>
        <v>2020</v>
      </c>
      <c r="I724" s="3" t="str">
        <f>""</f>
        <v/>
      </c>
    </row>
    <row r="725" spans="1:9" x14ac:dyDescent="0.3">
      <c r="A725" s="2">
        <v>724</v>
      </c>
      <c r="B725" s="4" t="s">
        <v>22</v>
      </c>
      <c r="C725" s="3" t="str">
        <f>"TFC000000542"</f>
        <v>TFC000000542</v>
      </c>
      <c r="D725" s="3" t="str">
        <f>"F800-20-0587-(AR 2.1)"</f>
        <v>F800-20-0587-(AR 2.1)</v>
      </c>
      <c r="E725" s="3" t="str">
        <f>"When I feel scared"</f>
        <v>When I feel scared</v>
      </c>
      <c r="F725" s="3" t="str">
        <f>"written by Cornelia Maude Spelman ; illustrated by Kathy Parkinson"</f>
        <v>written by Cornelia Maude Spelman ; illustrated by Kathy Parkinson</v>
      </c>
      <c r="G725" s="3" t="str">
        <f>"Albert Whitman"</f>
        <v>Albert Whitman</v>
      </c>
      <c r="H725" s="2" t="str">
        <f>"2002"</f>
        <v>2002</v>
      </c>
      <c r="I725" s="3" t="str">
        <f>""</f>
        <v/>
      </c>
    </row>
    <row r="726" spans="1:9" x14ac:dyDescent="0.3">
      <c r="A726" s="2">
        <v>725</v>
      </c>
      <c r="B726" s="4" t="s">
        <v>22</v>
      </c>
      <c r="C726" s="3" t="str">
        <f>"TFC000000543"</f>
        <v>TFC000000543</v>
      </c>
      <c r="D726" s="3" t="str">
        <f>"F800-20-0588-(AR 2.1)"</f>
        <v>F800-20-0588-(AR 2.1)</v>
      </c>
      <c r="E726" s="3" t="str">
        <f>"Tiny T. Rex and the impossible hug"</f>
        <v>Tiny T. Rex and the impossible hug</v>
      </c>
      <c r="F726" s="3" t="str">
        <f>"by Jonathan Stutzman ; illustrated by Jay Fleck"</f>
        <v>by Jonathan Stutzman ; illustrated by Jay Fleck</v>
      </c>
      <c r="G726" s="3" t="str">
        <f>"Chronicle Books"</f>
        <v>Chronicle Books</v>
      </c>
      <c r="H726" s="2" t="str">
        <f>"2019"</f>
        <v>2019</v>
      </c>
      <c r="I726" s="3" t="str">
        <f>""</f>
        <v/>
      </c>
    </row>
    <row r="727" spans="1:9" x14ac:dyDescent="0.3">
      <c r="A727" s="2">
        <v>726</v>
      </c>
      <c r="B727" s="4" t="s">
        <v>22</v>
      </c>
      <c r="C727" s="3" t="str">
        <f>"TFC000000544"</f>
        <v>TFC000000544</v>
      </c>
      <c r="D727" s="3" t="str">
        <f>"F800-20-0589-(AR 2.1)"</f>
        <v>F800-20-0589-(AR 2.1)</v>
      </c>
      <c r="E727" s="3" t="str">
        <f>"Wee little bunny"</f>
        <v>Wee little bunny</v>
      </c>
      <c r="F727" s="3" t="str">
        <f>"by Lauren Thompson ; illustrated by John Butler"</f>
        <v>by Lauren Thompson ; illustrated by John Butler</v>
      </c>
      <c r="G727" s="3" t="str">
        <f>"Simon &amp; Schuster"</f>
        <v>Simon &amp; Schuster</v>
      </c>
      <c r="H727" s="2" t="str">
        <f>"2010"</f>
        <v>2010</v>
      </c>
      <c r="I727" s="3" t="str">
        <f>""</f>
        <v/>
      </c>
    </row>
    <row r="728" spans="1:9" x14ac:dyDescent="0.3">
      <c r="A728" s="2">
        <v>727</v>
      </c>
      <c r="B728" s="4" t="s">
        <v>22</v>
      </c>
      <c r="C728" s="3" t="str">
        <f>"TFC000000545"</f>
        <v>TFC000000545</v>
      </c>
      <c r="D728" s="3" t="str">
        <f>"F800-20-0590-(AR 2.1)"</f>
        <v>F800-20-0590-(AR 2.1)</v>
      </c>
      <c r="E728" s="3" t="str">
        <f>"Dog vs. ultra dog"</f>
        <v>Dog vs. ultra dog</v>
      </c>
      <c r="F728" s="3" t="str">
        <f>"story by Troy Wilson ; art by Clayton Hanmer"</f>
        <v>story by Troy Wilson ; art by Clayton Hanmer</v>
      </c>
      <c r="G728" s="3" t="str">
        <f>"Owlkids Books"</f>
        <v>Owlkids Books</v>
      </c>
      <c r="H728" s="2" t="str">
        <f>"2019"</f>
        <v>2019</v>
      </c>
      <c r="I728" s="3" t="str">
        <f>""</f>
        <v/>
      </c>
    </row>
    <row r="729" spans="1:9" x14ac:dyDescent="0.3">
      <c r="A729" s="2">
        <v>728</v>
      </c>
      <c r="B729" s="4" t="s">
        <v>22</v>
      </c>
      <c r="C729" s="3" t="str">
        <f>"TFC000002984"</f>
        <v>TFC000002984</v>
      </c>
      <c r="D729" s="3" t="str">
        <f>"F800-20-0591-(AR 2.1)"</f>
        <v>F800-20-0591-(AR 2.1)</v>
      </c>
      <c r="E729" s="3" t="str">
        <f>"Cheetah chases the story"</f>
        <v>Cheetah chases the story</v>
      </c>
      <c r="F729" s="3" t="str">
        <f>"by J.L. Anderson ; illustrated by Amanda Erb"</f>
        <v>by J.L. Anderson ; illustrated by Amanda Erb</v>
      </c>
      <c r="G729" s="3" t="str">
        <f>"Rourke Educational Media"</f>
        <v>Rourke Educational Media</v>
      </c>
      <c r="H729" s="2" t="str">
        <f>"2020"</f>
        <v>2020</v>
      </c>
      <c r="I729" s="3" t="str">
        <f>""</f>
        <v/>
      </c>
    </row>
    <row r="730" spans="1:9" x14ac:dyDescent="0.3">
      <c r="A730" s="2">
        <v>729</v>
      </c>
      <c r="B730" s="4" t="s">
        <v>22</v>
      </c>
      <c r="C730" s="3" t="str">
        <f>"TFC000002986"</f>
        <v>TFC000002986</v>
      </c>
      <c r="D730" s="3" t="str">
        <f>"F800-20-0592-(AR 2.1)"</f>
        <v>F800-20-0592-(AR 2.1)</v>
      </c>
      <c r="E730" s="3" t="str">
        <f>"Reporter to the rescue"</f>
        <v>Reporter to the rescue</v>
      </c>
      <c r="F730" s="3" t="str">
        <f>"by J.L. Anderson ; illustrated by Amanda Erb"</f>
        <v>by J.L. Anderson ; illustrated by Amanda Erb</v>
      </c>
      <c r="G730" s="3" t="str">
        <f>"Rourke Educational Media"</f>
        <v>Rourke Educational Media</v>
      </c>
      <c r="H730" s="2" t="str">
        <f>"2020"</f>
        <v>2020</v>
      </c>
      <c r="I730" s="3" t="str">
        <f>""</f>
        <v/>
      </c>
    </row>
    <row r="731" spans="1:9" x14ac:dyDescent="0.3">
      <c r="A731" s="2">
        <v>730</v>
      </c>
      <c r="B731" s="4" t="s">
        <v>22</v>
      </c>
      <c r="C731" s="3" t="str">
        <f>"TFC000003143"</f>
        <v>TFC000003143</v>
      </c>
      <c r="D731" s="3" t="str">
        <f>"F800-20-0593-(AR 2.1)"</f>
        <v>F800-20-0593-(AR 2.1)</v>
      </c>
      <c r="E731" s="3" t="str">
        <f>"(The)cat in the hat"</f>
        <v>(The)cat in the hat</v>
      </c>
      <c r="F731" s="3" t="str">
        <f>"by Dr. Seuss"</f>
        <v>by Dr. Seuss</v>
      </c>
      <c r="G731" s="3" t="str">
        <f>"Random House"</f>
        <v>Random House</v>
      </c>
      <c r="H731" s="2" t="str">
        <f>"1985"</f>
        <v>1985</v>
      </c>
      <c r="I731" s="3" t="str">
        <f>""</f>
        <v/>
      </c>
    </row>
    <row r="732" spans="1:9" x14ac:dyDescent="0.3">
      <c r="A732" s="2">
        <v>731</v>
      </c>
      <c r="B732" s="4" t="s">
        <v>22</v>
      </c>
      <c r="C732" s="3" t="str">
        <f>"TFC000003155"</f>
        <v>TFC000003155</v>
      </c>
      <c r="D732" s="3" t="str">
        <f>"F800-20-0594-(AR 2.1)"</f>
        <v>F800-20-0594-(AR 2.1)</v>
      </c>
      <c r="E732" s="3" t="str">
        <f>"Hair love"</f>
        <v>Hair love</v>
      </c>
      <c r="F732" s="3" t="str">
        <f>"Matthew A. Cherry ; illustrations by Vashti Harrison"</f>
        <v>Matthew A. Cherry ; illustrations by Vashti Harrison</v>
      </c>
      <c r="G732" s="3" t="str">
        <f>"Kokila"</f>
        <v>Kokila</v>
      </c>
      <c r="H732" s="2" t="str">
        <f>"2019"</f>
        <v>2019</v>
      </c>
      <c r="I732" s="3" t="str">
        <f>""</f>
        <v/>
      </c>
    </row>
    <row r="733" spans="1:9" x14ac:dyDescent="0.3">
      <c r="A733" s="2">
        <v>732</v>
      </c>
      <c r="B733" s="4" t="s">
        <v>22</v>
      </c>
      <c r="C733" s="3" t="str">
        <f>"TFC000003236"</f>
        <v>TFC000003236</v>
      </c>
      <c r="D733" s="3" t="str">
        <f>"F400-21-0139-(AR 2.1)"</f>
        <v>F400-21-0139-(AR 2.1)</v>
      </c>
      <c r="E733" s="3" t="str">
        <f>"(A)day at Greenhill farm"</f>
        <v>(A)day at Greenhill farm</v>
      </c>
      <c r="F733" s="3" t="str">
        <f>"by Sue Nicholson"</f>
        <v>by Sue Nicholson</v>
      </c>
      <c r="G733" s="3" t="str">
        <f>"Dorling Kindersley"</f>
        <v>Dorling Kindersley</v>
      </c>
      <c r="H733" s="2" t="str">
        <f>"1998"</f>
        <v>1998</v>
      </c>
      <c r="I733" s="3" t="str">
        <f>""</f>
        <v/>
      </c>
    </row>
    <row r="734" spans="1:9" x14ac:dyDescent="0.3">
      <c r="A734" s="2">
        <v>733</v>
      </c>
      <c r="B734" s="4" t="s">
        <v>22</v>
      </c>
      <c r="C734" s="3" t="str">
        <f>"TFC000003238"</f>
        <v>TFC000003238</v>
      </c>
      <c r="D734" s="3" t="str">
        <f>"F800-21-0141-(AR 2.1)"</f>
        <v>F800-21-0141-(AR 2.1)</v>
      </c>
      <c r="E734" s="3" t="str">
        <f>"If you take a mouse to the movies"</f>
        <v>If you take a mouse to the movies</v>
      </c>
      <c r="F734" s="3" t="str">
        <f>"by Laura Numeroff ; illustrated by Felicia Bond"</f>
        <v>by Laura Numeroff ; illustrated by Felicia Bond</v>
      </c>
      <c r="G734" s="3" t="str">
        <f>"HarperCollins"</f>
        <v>HarperCollins</v>
      </c>
      <c r="H734" s="2" t="str">
        <f>"2000"</f>
        <v>2000</v>
      </c>
      <c r="I734" s="3" t="str">
        <f>""</f>
        <v/>
      </c>
    </row>
    <row r="735" spans="1:9" x14ac:dyDescent="0.3">
      <c r="A735" s="2">
        <v>734</v>
      </c>
      <c r="B735" s="4" t="s">
        <v>22</v>
      </c>
      <c r="C735" s="3" t="str">
        <f>"TFC000003239"</f>
        <v>TFC000003239</v>
      </c>
      <c r="D735" s="3" t="str">
        <f>"F800-21-0142-(AR 2.1)"</f>
        <v>F800-21-0142-(AR 2.1)</v>
      </c>
      <c r="E735" s="3" t="str">
        <f>"George and Martha back in town"</f>
        <v>George and Martha back in town</v>
      </c>
      <c r="F735" s="3" t="str">
        <f>"by James Marshall"</f>
        <v>by James Marshall</v>
      </c>
      <c r="G735" s="3" t="str">
        <f>"Sandpiper:Houghton Mifflin"</f>
        <v>Sandpiper:Houghton Mifflin</v>
      </c>
      <c r="H735" s="2" t="str">
        <f>"1984"</f>
        <v>1984</v>
      </c>
      <c r="I735" s="3" t="str">
        <f>""</f>
        <v/>
      </c>
    </row>
    <row r="736" spans="1:9" x14ac:dyDescent="0.3">
      <c r="A736" s="2">
        <v>735</v>
      </c>
      <c r="B736" s="4" t="s">
        <v>22</v>
      </c>
      <c r="C736" s="3" t="str">
        <f>"TFC000003304"</f>
        <v>TFC000003304</v>
      </c>
      <c r="D736" s="3" t="str">
        <f>"F400-21-0140-(AR 2.1)"</f>
        <v>F400-21-0140-(AR 2.1)</v>
      </c>
      <c r="E736" s="3" t="str">
        <f>"Baby cows"</f>
        <v>Baby cows</v>
      </c>
      <c r="F736" s="3" t="str">
        <f>"by Martha London"</f>
        <v>by Martha London</v>
      </c>
      <c r="G736" s="3" t="str">
        <f>"Cody Koala"</f>
        <v>Cody Koala</v>
      </c>
      <c r="H736" s="2" t="str">
        <f>"2021"</f>
        <v>2021</v>
      </c>
      <c r="I736" s="3" t="str">
        <f>""</f>
        <v/>
      </c>
    </row>
    <row r="737" spans="1:9" x14ac:dyDescent="0.3">
      <c r="A737" s="2">
        <v>736</v>
      </c>
      <c r="B737" s="4" t="s">
        <v>22</v>
      </c>
      <c r="C737" s="3" t="str">
        <f>"TFC000003305"</f>
        <v>TFC000003305</v>
      </c>
      <c r="D737" s="3" t="str">
        <f>"F400-21-0936-(AR 2.1)"</f>
        <v>F400-21-0936-(AR 2.1)</v>
      </c>
      <c r="E737" s="3" t="str">
        <f>"Pit viper"</f>
        <v>Pit viper</v>
      </c>
      <c r="F737" s="3" t="str">
        <f>"by Julie Murray"</f>
        <v>by Julie Murray</v>
      </c>
      <c r="G737" s="3" t="str">
        <f>"Dash!"</f>
        <v>Dash!</v>
      </c>
      <c r="H737" s="2" t="str">
        <f>"2021"</f>
        <v>2021</v>
      </c>
      <c r="I737" s="3" t="str">
        <f>""</f>
        <v/>
      </c>
    </row>
    <row r="738" spans="1:9" x14ac:dyDescent="0.3">
      <c r="A738" s="2">
        <v>737</v>
      </c>
      <c r="B738" s="4" t="s">
        <v>22</v>
      </c>
      <c r="C738" s="3" t="str">
        <f>"TFC000003306"</f>
        <v>TFC000003306</v>
      </c>
      <c r="D738" s="3" t="str">
        <f>"F800-21-0143-(AR 2.1)"</f>
        <v>F800-21-0143-(AR 2.1)</v>
      </c>
      <c r="E738" s="3" t="str">
        <f>"Take a hike!"</f>
        <v>Take a hike!</v>
      </c>
      <c r="F738" s="3" t="str">
        <f>"by Luke Flowers"</f>
        <v>by Luke Flowers</v>
      </c>
      <c r="G738" s="3" t="str">
        <f>"Scholastic"</f>
        <v>Scholastic</v>
      </c>
      <c r="H738" s="2" t="str">
        <f>"2020"</f>
        <v>2020</v>
      </c>
      <c r="I738" s="3" t="str">
        <f>""</f>
        <v/>
      </c>
    </row>
    <row r="739" spans="1:9" x14ac:dyDescent="0.3">
      <c r="A739" s="2">
        <v>738</v>
      </c>
      <c r="B739" s="4" t="s">
        <v>22</v>
      </c>
      <c r="C739" s="3" t="str">
        <f>"TFC000003495"</f>
        <v>TFC000003495</v>
      </c>
      <c r="D739" s="3" t="str">
        <f>"F800-21-0144-(AR 2.1)"</f>
        <v>F800-21-0144-(AR 2.1)</v>
      </c>
      <c r="E739" s="3" t="str">
        <f>"Nana in the city"</f>
        <v>Nana in the city</v>
      </c>
      <c r="F739" s="3" t="str">
        <f>"by Lauren Castillo"</f>
        <v>by Lauren Castillo</v>
      </c>
      <c r="G739" s="3" t="str">
        <f>"Clarion Books:Houghton Mifflin"</f>
        <v>Clarion Books:Houghton Mifflin</v>
      </c>
      <c r="H739" s="2" t="str">
        <f>"2014"</f>
        <v>2014</v>
      </c>
      <c r="I739" s="3" t="str">
        <f>""</f>
        <v/>
      </c>
    </row>
    <row r="740" spans="1:9" x14ac:dyDescent="0.3">
      <c r="A740" s="2">
        <v>739</v>
      </c>
      <c r="B740" s="4" t="s">
        <v>22</v>
      </c>
      <c r="C740" s="3" t="str">
        <f>"TFC000003692"</f>
        <v>TFC000003692</v>
      </c>
      <c r="D740" s="3" t="str">
        <f>"F800-21-0145-(AR 2.1)"</f>
        <v>F800-21-0145-(AR 2.1)</v>
      </c>
      <c r="E740" s="3" t="str">
        <f>"(The)musical"</f>
        <v>(The)musical</v>
      </c>
      <c r="F740" s="3" t="str">
        <f>"by Jennifer L. Holm, Matthew Holm"</f>
        <v>by Jennifer L. Holm, Matthew Holm</v>
      </c>
      <c r="G740" s="3" t="str">
        <f>"Random House"</f>
        <v>Random House</v>
      </c>
      <c r="H740" s="2" t="str">
        <f>"2009"</f>
        <v>2009</v>
      </c>
      <c r="I740" s="3" t="str">
        <f>""</f>
        <v/>
      </c>
    </row>
    <row r="741" spans="1:9" x14ac:dyDescent="0.3">
      <c r="A741" s="2">
        <v>740</v>
      </c>
      <c r="B741" s="4" t="s">
        <v>22</v>
      </c>
      <c r="C741" s="3" t="str">
        <f>"TFC000003705"</f>
        <v>TFC000003705</v>
      </c>
      <c r="D741" s="3" t="str">
        <f>"F800-21-0146-(AR 2.1)"</f>
        <v>F800-21-0146-(AR 2.1)</v>
      </c>
      <c r="E741" s="3" t="str">
        <f>"Flag football friends"</f>
        <v>Flag football friends</v>
      </c>
      <c r="F741" s="3" t="str">
        <f>"by Elliott Smith ; illustrated by Alex Patrick"</f>
        <v>by Elliott Smith ; illustrated by Alex Patrick</v>
      </c>
      <c r="G741" s="3" t="str">
        <f>"Capstone Press"</f>
        <v>Capstone Press</v>
      </c>
      <c r="H741" s="2" t="str">
        <f>"2021"</f>
        <v>2021</v>
      </c>
      <c r="I741" s="3" t="str">
        <f>""</f>
        <v/>
      </c>
    </row>
    <row r="742" spans="1:9" x14ac:dyDescent="0.3">
      <c r="A742" s="2">
        <v>741</v>
      </c>
      <c r="B742" s="4" t="s">
        <v>22</v>
      </c>
      <c r="C742" s="3" t="str">
        <f>"TFC000003769"</f>
        <v>TFC000003769</v>
      </c>
      <c r="D742" s="3" t="str">
        <f>"F800-21-0147-(AR 2.1)"</f>
        <v>F800-21-0147-(AR 2.1)</v>
      </c>
      <c r="E742" s="3" t="str">
        <f>"Bear came along"</f>
        <v>Bear came along</v>
      </c>
      <c r="F742" s="3" t="str">
        <f>"by Richard T. Morris ; illustrated by LeUyen Pham"</f>
        <v>by Richard T. Morris ; illustrated by LeUyen Pham</v>
      </c>
      <c r="G742" s="3" t="str">
        <f>"Little, Brown and company"</f>
        <v>Little, Brown and company</v>
      </c>
      <c r="H742" s="2" t="str">
        <f>"2019"</f>
        <v>2019</v>
      </c>
      <c r="I742" s="3" t="str">
        <f>""</f>
        <v/>
      </c>
    </row>
    <row r="743" spans="1:9" x14ac:dyDescent="0.3">
      <c r="A743" s="2">
        <v>742</v>
      </c>
      <c r="B743" s="4" t="s">
        <v>22</v>
      </c>
      <c r="C743" s="3" t="str">
        <f>"TFC000003813"</f>
        <v>TFC000003813</v>
      </c>
      <c r="D743" s="3" t="str">
        <f>"F800-21-0148-(AR 2.1)"</f>
        <v>F800-21-0148-(AR 2.1)</v>
      </c>
      <c r="E743" s="3" t="str">
        <f>"Rot, the bravest in the world!"</f>
        <v>Rot, the bravest in the world!</v>
      </c>
      <c r="F743" s="3" t="str">
        <f>"by Ben Clanton"</f>
        <v>by Ben Clanton</v>
      </c>
      <c r="G743" s="3" t="str">
        <f>"Atheneum Books for Young Readers"</f>
        <v>Atheneum Books for Young Readers</v>
      </c>
      <c r="H743" s="2" t="str">
        <f>"2020"</f>
        <v>2020</v>
      </c>
      <c r="I743" s="3" t="str">
        <f>""</f>
        <v/>
      </c>
    </row>
    <row r="744" spans="1:9" x14ac:dyDescent="0.3">
      <c r="A744" s="2">
        <v>743</v>
      </c>
      <c r="B744" s="4" t="s">
        <v>22</v>
      </c>
      <c r="C744" s="3" t="str">
        <f>"TFC000003814"</f>
        <v>TFC000003814</v>
      </c>
      <c r="D744" s="3" t="str">
        <f>"F800-21-0149-(AR 2.1)"</f>
        <v>F800-21-0149-(AR 2.1)</v>
      </c>
      <c r="E744" s="3" t="str">
        <f>"Bear can't wait"</f>
        <v>Bear can't wait</v>
      </c>
      <c r="F744" s="3" t="str">
        <f>"by Karma Wilson, illustrated by Jane Chapman"</f>
        <v>by Karma Wilson, illustrated by Jane Chapman</v>
      </c>
      <c r="G744" s="3" t="str">
        <f>"Margaret K. McElderry Book"</f>
        <v>Margaret K. McElderry Book</v>
      </c>
      <c r="H744" s="2" t="str">
        <f>"2021"</f>
        <v>2021</v>
      </c>
      <c r="I744" s="3" t="str">
        <f>""</f>
        <v/>
      </c>
    </row>
    <row r="745" spans="1:9" x14ac:dyDescent="0.3">
      <c r="A745" s="2">
        <v>744</v>
      </c>
      <c r="B745" s="4" t="s">
        <v>22</v>
      </c>
      <c r="C745" s="3" t="str">
        <f>"TFC000003959"</f>
        <v>TFC000003959</v>
      </c>
      <c r="D745" s="3" t="str">
        <f>"F800-21-0151-(AR 2.1)"</f>
        <v>F800-21-0151-(AR 2.1)</v>
      </c>
      <c r="E745" s="3" t="str">
        <f>"Best buddies"</f>
        <v>Best buddies</v>
      </c>
      <c r="F745" s="3" t="str">
        <f>"by Lynn Plourde, illustrated by Arthur Lin"</f>
        <v>by Lynn Plourde, illustrated by Arthur Lin</v>
      </c>
      <c r="G745" s="3" t="str">
        <f>"Capstone Editions"</f>
        <v>Capstone Editions</v>
      </c>
      <c r="H745" s="2" t="str">
        <f>"2021"</f>
        <v>2021</v>
      </c>
      <c r="I745" s="3" t="str">
        <f>""</f>
        <v/>
      </c>
    </row>
    <row r="746" spans="1:9" x14ac:dyDescent="0.3">
      <c r="A746" s="2">
        <v>745</v>
      </c>
      <c r="B746" s="4" t="s">
        <v>22</v>
      </c>
      <c r="C746" s="3" t="str">
        <f>"TFC000004034"</f>
        <v>TFC000004034</v>
      </c>
      <c r="D746" s="3" t="str">
        <f>"F800-21-0153-(AR 2.1)"</f>
        <v>F800-21-0153-(AR 2.1)</v>
      </c>
      <c r="E746" s="3" t="str">
        <f>"Pinkalicious : Happy Birthday!"</f>
        <v>Pinkalicious : Happy Birthday!</v>
      </c>
      <c r="F746" s="3" t="str">
        <f>"by Victoria Kann"</f>
        <v>by Victoria Kann</v>
      </c>
      <c r="G746" s="3" t="str">
        <f>"HarperCollins"</f>
        <v>HarperCollins</v>
      </c>
      <c r="H746" s="2" t="str">
        <f>"2021"</f>
        <v>2021</v>
      </c>
      <c r="I746" s="3" t="str">
        <f>""</f>
        <v/>
      </c>
    </row>
    <row r="747" spans="1:9" x14ac:dyDescent="0.3">
      <c r="A747" s="2">
        <v>746</v>
      </c>
      <c r="B747" s="4" t="s">
        <v>22</v>
      </c>
      <c r="C747" s="3" t="str">
        <f>"TFC000004035"</f>
        <v>TFC000004035</v>
      </c>
      <c r="D747" s="3" t="str">
        <f>"F900-21-0155-(AR 2.1)"</f>
        <v>F900-21-0155-(AR 2.1)</v>
      </c>
      <c r="E747" s="3" t="str">
        <f>"Kamala Harris : first female vice president"</f>
        <v>Kamala Harris : first female vice president</v>
      </c>
      <c r="F747" s="3" t="str">
        <f>"by Rachel Rose"</f>
        <v>by Rachel Rose</v>
      </c>
      <c r="G747" s="3" t="str">
        <f>"Bearport Publishing Company"</f>
        <v>Bearport Publishing Company</v>
      </c>
      <c r="H747" s="2" t="str">
        <f>"2022"</f>
        <v>2022</v>
      </c>
      <c r="I747" s="3" t="str">
        <f>""</f>
        <v/>
      </c>
    </row>
    <row r="748" spans="1:9" x14ac:dyDescent="0.3">
      <c r="A748" s="2">
        <v>747</v>
      </c>
      <c r="B748" s="4" t="s">
        <v>22</v>
      </c>
      <c r="C748" s="3" t="str">
        <f>"TFC000004130"</f>
        <v>TFC000004130</v>
      </c>
      <c r="D748" s="3" t="str">
        <f>"F800-21-0154-(AR 2.1)"</f>
        <v>F800-21-0154-(AR 2.1)</v>
      </c>
      <c r="E748" s="3" t="str">
        <f>"Triangle"</f>
        <v>Triangle</v>
      </c>
      <c r="F748" s="3" t="str">
        <f>"Mac Barnett, Jon Klassen"</f>
        <v>Mac Barnett, Jon Klassen</v>
      </c>
      <c r="G748" s="3" t="str">
        <f>"Walker Books"</f>
        <v>Walker Books</v>
      </c>
      <c r="H748" s="2" t="str">
        <f>"2018"</f>
        <v>2018</v>
      </c>
      <c r="I748" s="3" t="str">
        <f>""</f>
        <v/>
      </c>
    </row>
    <row r="749" spans="1:9" x14ac:dyDescent="0.3">
      <c r="A749" s="2">
        <v>748</v>
      </c>
      <c r="B749" s="4" t="s">
        <v>22</v>
      </c>
      <c r="C749" s="3" t="str">
        <f>"TFC000004396"</f>
        <v>TFC000004396</v>
      </c>
      <c r="D749" s="3" t="str">
        <f>"F800-22-0205-(AR 2.1)"</f>
        <v>F800-22-0205-(AR 2.1)</v>
      </c>
      <c r="E749" s="3" t="str">
        <f>"CAP'N REX &amp; HIS CLEVER CREW"</f>
        <v>CAP'N REX &amp; HIS CLEVER CREW</v>
      </c>
      <c r="F749" s="3" t="str">
        <f>"by Henry L. Herz, illustrated by Benjamin Schipper"</f>
        <v>by Henry L. Herz, illustrated by Benjamin Schipper</v>
      </c>
      <c r="G749" s="3" t="str">
        <f>"Sterling Children's Books"</f>
        <v>Sterling Children's Books</v>
      </c>
      <c r="H749" s="2" t="str">
        <f>"2021"</f>
        <v>2021</v>
      </c>
      <c r="I749" s="3" t="str">
        <f>""</f>
        <v/>
      </c>
    </row>
    <row r="750" spans="1:9" x14ac:dyDescent="0.3">
      <c r="A750" s="2">
        <v>749</v>
      </c>
      <c r="B750" s="4" t="s">
        <v>22</v>
      </c>
      <c r="C750" s="3" t="str">
        <f>"TFC000004397"</f>
        <v>TFC000004397</v>
      </c>
      <c r="D750" s="3" t="str">
        <f>"F800-22-0206-(AR 2.1)"</f>
        <v>F800-22-0206-(AR 2.1)</v>
      </c>
      <c r="E750" s="3" t="str">
        <f>"Don't be so nosy posy!"</f>
        <v>Don't be so nosy posy!</v>
      </c>
      <c r="F750" s="3" t="str">
        <f>"by Nicola Grant, illustrated by Tim Warnes"</f>
        <v>by Nicola Grant, illustrated by Tim Warnes</v>
      </c>
      <c r="G750" s="3" t="str">
        <f>"Little Tiger Press"</f>
        <v>Little Tiger Press</v>
      </c>
      <c r="H750" s="2" t="str">
        <f>"2005"</f>
        <v>2005</v>
      </c>
      <c r="I750" s="3" t="str">
        <f>""</f>
        <v/>
      </c>
    </row>
    <row r="751" spans="1:9" x14ac:dyDescent="0.3">
      <c r="A751" s="2">
        <v>750</v>
      </c>
      <c r="B751" s="4" t="s">
        <v>22</v>
      </c>
      <c r="C751" s="3" t="str">
        <f>"TFC000004398"</f>
        <v>TFC000004398</v>
      </c>
      <c r="D751" s="3" t="str">
        <f>"F500-22-0207-(AR 2.1)"</f>
        <v>F500-22-0207-(AR 2.1)</v>
      </c>
      <c r="E751" s="3" t="str">
        <f>"On the Go"</f>
        <v>On the Go</v>
      </c>
      <c r="F751" s="3" t="str">
        <f>"by Lisa Trumbauer"</f>
        <v>by Lisa Trumbauer</v>
      </c>
      <c r="G751" s="3" t="str">
        <f>"Yellow Umbrella Books"</f>
        <v>Yellow Umbrella Books</v>
      </c>
      <c r="H751" s="2" t="str">
        <f>"2006"</f>
        <v>2006</v>
      </c>
      <c r="I751" s="3" t="str">
        <f>""</f>
        <v/>
      </c>
    </row>
    <row r="752" spans="1:9" x14ac:dyDescent="0.3">
      <c r="A752" s="2">
        <v>751</v>
      </c>
      <c r="B752" s="4" t="s">
        <v>22</v>
      </c>
      <c r="C752" s="3" t="str">
        <f>"TFC000004399"</f>
        <v>TFC000004399</v>
      </c>
      <c r="D752" s="3" t="str">
        <f>"F500-22-0208-(AR 2.1)"</f>
        <v>F500-22-0208-(AR 2.1)</v>
      </c>
      <c r="E752" s="3" t="str">
        <f>"(The)Borrowed Hanukkah Latkes"</f>
        <v>(The)Borrowed Hanukkah Latkes</v>
      </c>
      <c r="F752" s="3" t="str">
        <f>"by Linda Glaser, illustrated by Nancy Cote"</f>
        <v>by Linda Glaser, illustrated by Nancy Cote</v>
      </c>
      <c r="G752" s="3" t="str">
        <f>"Albert Whitman &amp; Company"</f>
        <v>Albert Whitman &amp; Company</v>
      </c>
      <c r="H752" s="2" t="str">
        <f>"1997"</f>
        <v>1997</v>
      </c>
      <c r="I752" s="3" t="str">
        <f>""</f>
        <v/>
      </c>
    </row>
    <row r="753" spans="1:9" x14ac:dyDescent="0.3">
      <c r="A753" s="2">
        <v>752</v>
      </c>
      <c r="B753" s="4" t="s">
        <v>22</v>
      </c>
      <c r="C753" s="3" t="str">
        <f>"TFC000004410"</f>
        <v>TFC000004410</v>
      </c>
      <c r="D753" s="3" t="str">
        <f>"F800-22-0219-(AR 2.1)"</f>
        <v>F800-22-0219-(AR 2.1)</v>
      </c>
      <c r="E753" s="3" t="str">
        <f>"Tippy-toe chick, go!"</f>
        <v>Tippy-toe chick, go!</v>
      </c>
      <c r="F753" s="3" t="str">
        <f>"by George Shannon, pictures by Laura Dronzek"</f>
        <v>by George Shannon, pictures by Laura Dronzek</v>
      </c>
      <c r="G753" s="3" t="str">
        <f>"Greenwillow Books"</f>
        <v>Greenwillow Books</v>
      </c>
      <c r="H753" s="2" t="str">
        <f>"c2003"</f>
        <v>c2003</v>
      </c>
      <c r="I753" s="3" t="str">
        <f>""</f>
        <v/>
      </c>
    </row>
    <row r="754" spans="1:9" x14ac:dyDescent="0.3">
      <c r="A754" s="2">
        <v>753</v>
      </c>
      <c r="B754" s="4" t="s">
        <v>22</v>
      </c>
      <c r="C754" s="3" t="str">
        <f>"TFC000004659"</f>
        <v>TFC000004659</v>
      </c>
      <c r="D754" s="3" t="str">
        <f>"F800-22-0468-(AR 2.1)"</f>
        <v>F800-22-0468-(AR 2.1)</v>
      </c>
      <c r="E754" s="3" t="str">
        <f>"10 spooky pumpkins"</f>
        <v>10 spooky pumpkins</v>
      </c>
      <c r="F754" s="3" t="str">
        <f>"by Gris Grimly"</f>
        <v>by Gris Grimly</v>
      </c>
      <c r="G754" s="3" t="str">
        <f>"Orchard Books"</f>
        <v>Orchard Books</v>
      </c>
      <c r="H754" s="2" t="str">
        <f>"2021"</f>
        <v>2021</v>
      </c>
      <c r="I754" s="3" t="str">
        <f>""</f>
        <v/>
      </c>
    </row>
    <row r="755" spans="1:9" x14ac:dyDescent="0.3">
      <c r="A755" s="2">
        <v>754</v>
      </c>
      <c r="B755" s="4" t="s">
        <v>22</v>
      </c>
      <c r="C755" s="3" t="str">
        <f>"TFC000004429"</f>
        <v>TFC000004429</v>
      </c>
      <c r="D755" s="3" t="str">
        <f>"F800-22-0238-(AR2.1)"</f>
        <v>F800-22-0238-(AR2.1)</v>
      </c>
      <c r="E755" s="3" t="str">
        <f>"Get Well, Crabby!"</f>
        <v>Get Well, Crabby!</v>
      </c>
      <c r="F755" s="3" t="str">
        <f>"by Janathan Fenske"</f>
        <v>by Janathan Fenske</v>
      </c>
      <c r="G755" s="3" t="str">
        <f>"Scholastic"</f>
        <v>Scholastic</v>
      </c>
      <c r="H755" s="2" t="str">
        <f>"2020"</f>
        <v>2020</v>
      </c>
      <c r="I755" s="3" t="str">
        <f>""</f>
        <v/>
      </c>
    </row>
    <row r="756" spans="1:9" x14ac:dyDescent="0.3">
      <c r="A756" s="2">
        <v>755</v>
      </c>
      <c r="B756" s="4" t="s">
        <v>22</v>
      </c>
      <c r="C756" s="3" t="str">
        <f>"TFC000004430"</f>
        <v>TFC000004430</v>
      </c>
      <c r="D756" s="3" t="str">
        <f>"F800-22-0239-(AR2.1)"</f>
        <v>F800-22-0239-(AR2.1)</v>
      </c>
      <c r="E756" s="3" t="str">
        <f>"What If, Pig?"</f>
        <v>What If, Pig?</v>
      </c>
      <c r="F756" s="3" t="str">
        <f>"by Linzie Hunter"</f>
        <v>by Linzie Hunter</v>
      </c>
      <c r="G756" s="3" t="str">
        <f>"HarperCollins"</f>
        <v>HarperCollins</v>
      </c>
      <c r="H756" s="2" t="str">
        <f>"2021"</f>
        <v>2021</v>
      </c>
      <c r="I756" s="3" t="str">
        <f>""</f>
        <v/>
      </c>
    </row>
    <row r="757" spans="1:9" x14ac:dyDescent="0.3">
      <c r="A757" s="2">
        <v>756</v>
      </c>
      <c r="B757" s="4" t="s">
        <v>22</v>
      </c>
      <c r="C757" s="3" t="str">
        <f>"TFC000004521"</f>
        <v>TFC000004521</v>
      </c>
      <c r="D757" s="3" t="str">
        <f>"F300-22-0330-(AR2.1)"</f>
        <v>F300-22-0330-(AR2.1)</v>
      </c>
      <c r="E757" s="3" t="str">
        <f>"Bad sister"</f>
        <v>Bad sister</v>
      </c>
      <c r="F757" s="3" t="str">
        <f>"written by Charise Mericle Harper, art by Rory Lucey."</f>
        <v>written by Charise Mericle Harper, art by Rory Lucey.</v>
      </c>
      <c r="G757" s="3" t="str">
        <f>"First Second"</f>
        <v>First Second</v>
      </c>
      <c r="H757" s="2" t="str">
        <f>"2021"</f>
        <v>2021</v>
      </c>
      <c r="I757" s="3" t="str">
        <f>""</f>
        <v/>
      </c>
    </row>
    <row r="758" spans="1:9" x14ac:dyDescent="0.3">
      <c r="A758" s="2">
        <v>757</v>
      </c>
      <c r="B758" s="4" t="s">
        <v>22</v>
      </c>
      <c r="C758" s="3" t="str">
        <f>"TFC000004660"</f>
        <v>TFC000004660</v>
      </c>
      <c r="D758" s="3" t="str">
        <f>"F800-22-0469-(AR2.1)"</f>
        <v>F800-22-0469-(AR2.1)</v>
      </c>
      <c r="E758" s="3" t="str">
        <f>"Time now to dream"</f>
        <v>Time now to dream</v>
      </c>
      <c r="F758" s="3" t="str">
        <f>"by Timothy Knapman, illustrated by Helen Oxenbury"</f>
        <v>by Timothy Knapman, illustrated by Helen Oxenbury</v>
      </c>
      <c r="G758" s="3" t="str">
        <f>"Candlewick Press"</f>
        <v>Candlewick Press</v>
      </c>
      <c r="H758" s="2" t="str">
        <f>"2017"</f>
        <v>2017</v>
      </c>
      <c r="I758" s="3" t="str">
        <f>""</f>
        <v/>
      </c>
    </row>
    <row r="759" spans="1:9" x14ac:dyDescent="0.3">
      <c r="A759" s="2">
        <v>758</v>
      </c>
      <c r="B759" s="4" t="s">
        <v>22</v>
      </c>
      <c r="C759" s="3" t="str">
        <f>"TFC000000540"</f>
        <v>TFC000000540</v>
      </c>
      <c r="D759" s="3" t="str">
        <f>"F800-20-0585-1(AR 2.1)"</f>
        <v>F800-20-0585-1(AR 2.1)</v>
      </c>
      <c r="E759" s="3" t="str">
        <f>"Charlie &amp; Mouse"</f>
        <v>Charlie &amp; Mouse</v>
      </c>
      <c r="F759" s="3" t="str">
        <f>"by Laurel Snyder ; illustrated by Emily Hughes"</f>
        <v>by Laurel Snyder ; illustrated by Emily Hughes</v>
      </c>
      <c r="G759" s="3" t="str">
        <f>"Chronicle Books"</f>
        <v>Chronicle Books</v>
      </c>
      <c r="H759" s="2" t="str">
        <f>"2019"</f>
        <v>2019</v>
      </c>
      <c r="I759" s="3" t="str">
        <f>""</f>
        <v/>
      </c>
    </row>
    <row r="760" spans="1:9" x14ac:dyDescent="0.3">
      <c r="A760" s="2">
        <v>759</v>
      </c>
      <c r="B760" s="4">
        <v>2.1</v>
      </c>
      <c r="C760" s="3" t="str">
        <f>"TFC000003910"</f>
        <v>TFC000003910</v>
      </c>
      <c r="D760" s="3" t="str">
        <f>"F800-21-0150-15(AR 2.1)"</f>
        <v>F800-21-0150-15(AR 2.1)</v>
      </c>
      <c r="E760" s="3" t="str">
        <f>"Babymouse. 15, a very Babymouse Christmas"</f>
        <v>Babymouse. 15, a very Babymouse Christmas</v>
      </c>
      <c r="F760" s="3" t="str">
        <f>"by Jennifer L. Holm, Matthew Holm"</f>
        <v>by Jennifer L. Holm, Matthew Holm</v>
      </c>
      <c r="G760" s="3" t="str">
        <f>"Random House"</f>
        <v>Random House</v>
      </c>
      <c r="H760" s="2" t="str">
        <f>"2011"</f>
        <v>2011</v>
      </c>
      <c r="I760" s="3" t="str">
        <f>""</f>
        <v/>
      </c>
    </row>
    <row r="761" spans="1:9" x14ac:dyDescent="0.3">
      <c r="A761" s="2">
        <v>760</v>
      </c>
      <c r="B761" s="4">
        <v>2.1</v>
      </c>
      <c r="C761" s="3" t="str">
        <f>"TFC000000541"</f>
        <v>TFC000000541</v>
      </c>
      <c r="D761" s="3" t="str">
        <f>"F800-20-0586-4(AR 2.1)"</f>
        <v>F800-20-0586-4(AR 2.1)</v>
      </c>
      <c r="E761" s="3" t="str">
        <f>"Charlie &amp; Mouse outdoors"</f>
        <v>Charlie &amp; Mouse outdoors</v>
      </c>
      <c r="F761" s="3" t="str">
        <f>"by Laurel Snyder ; illustrated by Emily Hughes"</f>
        <v>by Laurel Snyder ; illustrated by Emily Hughes</v>
      </c>
      <c r="G761" s="3" t="str">
        <f>"Chronicle Books"</f>
        <v>Chronicle Books</v>
      </c>
      <c r="H761" s="2" t="str">
        <f>"2020"</f>
        <v>2020</v>
      </c>
      <c r="I761" s="3" t="str">
        <f>""</f>
        <v/>
      </c>
    </row>
    <row r="762" spans="1:9" x14ac:dyDescent="0.3">
      <c r="A762" s="2">
        <v>761</v>
      </c>
      <c r="B762" s="4" t="s">
        <v>22</v>
      </c>
      <c r="C762" s="3" t="str">
        <f>"TFC000000527"</f>
        <v>TFC000000527</v>
      </c>
      <c r="D762" s="3" t="str">
        <f>"F800-20-0572-AR 2.1"</f>
        <v>F800-20-0572-AR 2.1</v>
      </c>
      <c r="E762" s="3" t="str">
        <f>"Fly guy vs. the fly swatter!"</f>
        <v>Fly guy vs. the fly swatter!</v>
      </c>
      <c r="F762" s="3" t="str">
        <f>"Tedd Arnold"</f>
        <v>Tedd Arnold</v>
      </c>
      <c r="G762" s="3" t="str">
        <f>"Cartwheel Books"</f>
        <v>Cartwheel Books</v>
      </c>
      <c r="H762" s="2" t="str">
        <f>"2011"</f>
        <v>2011</v>
      </c>
      <c r="I762" s="3" t="str">
        <f>""</f>
        <v/>
      </c>
    </row>
    <row r="763" spans="1:9" x14ac:dyDescent="0.3">
      <c r="A763" s="2">
        <v>762</v>
      </c>
      <c r="B763" s="4" t="s">
        <v>23</v>
      </c>
      <c r="C763" s="3" t="str">
        <f>"TFC000003791"</f>
        <v>TFC000003791</v>
      </c>
      <c r="D763" s="3" t="str">
        <f>"F800-21-0175-(AR 2.2)"</f>
        <v>F800-21-0175-(AR 2.2)</v>
      </c>
      <c r="E763" s="3" t="str">
        <f>"Little blue and little yellow"</f>
        <v>Little blue and little yellow</v>
      </c>
      <c r="F763" s="3" t="str">
        <f>"by Leo Lionni"</f>
        <v>by Leo Lionni</v>
      </c>
      <c r="G763" s="3" t="str">
        <f>"Dragonfly books"</f>
        <v>Dragonfly books</v>
      </c>
      <c r="H763" s="2" t="str">
        <f>"2017"</f>
        <v>2017</v>
      </c>
      <c r="I763" s="2" t="s">
        <v>2</v>
      </c>
    </row>
    <row r="764" spans="1:9" x14ac:dyDescent="0.3">
      <c r="A764" s="2">
        <v>763</v>
      </c>
      <c r="B764" s="4" t="s">
        <v>23</v>
      </c>
      <c r="C764" s="3" t="str">
        <f>"TFC000003658"</f>
        <v>TFC000003658</v>
      </c>
      <c r="D764" s="3" t="str">
        <f>"F800-21-0168-(AR 2.2)"</f>
        <v>F800-21-0168-(AR 2.2)</v>
      </c>
      <c r="E764" s="3" t="str">
        <f>"Ugly fish"</f>
        <v>Ugly fish</v>
      </c>
      <c r="F764" s="3" t="str">
        <f>"text by Kara LaReau ; illustrated by Scott Magoon"</f>
        <v>text by Kara LaReau ; illustrated by Scott Magoon</v>
      </c>
      <c r="G764" s="3" t="str">
        <f>"hmh"</f>
        <v>hmh</v>
      </c>
      <c r="H764" s="2" t="str">
        <f>"2006"</f>
        <v>2006</v>
      </c>
      <c r="I764" s="2" t="s">
        <v>2</v>
      </c>
    </row>
    <row r="765" spans="1:9" x14ac:dyDescent="0.3">
      <c r="A765" s="2">
        <v>764</v>
      </c>
      <c r="B765" s="4" t="s">
        <v>23</v>
      </c>
      <c r="C765" s="3" t="str">
        <f>"TFC000000549"</f>
        <v>TFC000000549</v>
      </c>
      <c r="D765" s="3" t="str">
        <f>"F800-20-0598-(AR 2.2)"</f>
        <v>F800-20-0598-(AR 2.2)</v>
      </c>
      <c r="E765" s="3" t="str">
        <f>"Papa, please get the moon for me"</f>
        <v>Papa, please get the moon for me</v>
      </c>
      <c r="F765" s="3" t="str">
        <f>"Eric Carle"</f>
        <v>Eric Carle</v>
      </c>
      <c r="G765" s="3" t="str">
        <f>"Little Simon"</f>
        <v>Little Simon</v>
      </c>
      <c r="H765" s="2" t="str">
        <f>"2015"</f>
        <v>2015</v>
      </c>
      <c r="I765" s="2" t="s">
        <v>2</v>
      </c>
    </row>
    <row r="766" spans="1:9" x14ac:dyDescent="0.3">
      <c r="A766" s="2">
        <v>765</v>
      </c>
      <c r="B766" s="4" t="s">
        <v>23</v>
      </c>
      <c r="C766" s="3" t="str">
        <f>"TFC000004213"</f>
        <v>TFC000004213</v>
      </c>
      <c r="D766" s="3" t="str">
        <f>"F800-22-0098-(AR 2.2)"</f>
        <v>F800-22-0098-(AR 2.2)</v>
      </c>
      <c r="E766" s="3" t="str">
        <f>"Two for me, one for you"</f>
        <v>Two for me, one for you</v>
      </c>
      <c r="F766" s="3" t="str">
        <f>"by Jorg Muhle, [translated by] Catherine Chidgey"</f>
        <v>by Jorg Muhle, [translated by] Catherine Chidgey</v>
      </c>
      <c r="G766" s="3" t="str">
        <f>"Two Ponds"</f>
        <v>Two Ponds</v>
      </c>
      <c r="H766" s="2" t="str">
        <f>"2021"</f>
        <v>2021</v>
      </c>
      <c r="I766" s="2" t="s">
        <v>2</v>
      </c>
    </row>
    <row r="767" spans="1:9" x14ac:dyDescent="0.3">
      <c r="A767" s="2">
        <v>766</v>
      </c>
      <c r="B767" s="4" t="s">
        <v>23</v>
      </c>
      <c r="C767" s="3" t="str">
        <f>"TFC000004324"</f>
        <v>TFC000004324</v>
      </c>
      <c r="D767" s="3" t="str">
        <f>"F800-22-0133-(AR 2.2)"</f>
        <v>F800-22-0133-(AR 2.2)</v>
      </c>
      <c r="E767" s="3" t="str">
        <f>"Listen, Listen"</f>
        <v>Listen, Listen</v>
      </c>
      <c r="F767" s="3" t="str">
        <f>"written by Phillis Gershator, illustrated by Alison Jay"</f>
        <v>written by Phillis Gershator, illustrated by Alison Jay</v>
      </c>
      <c r="G767" s="3" t="str">
        <f>"Barefoot Books"</f>
        <v>Barefoot Books</v>
      </c>
      <c r="H767" s="2" t="str">
        <f>"2007"</f>
        <v>2007</v>
      </c>
      <c r="I767" s="2" t="s">
        <v>2</v>
      </c>
    </row>
    <row r="768" spans="1:9" x14ac:dyDescent="0.3">
      <c r="A768" s="2">
        <v>767</v>
      </c>
      <c r="B768" s="4" t="s">
        <v>23</v>
      </c>
      <c r="C768" s="3" t="str">
        <f>"TFC000000546"</f>
        <v>TFC000000546</v>
      </c>
      <c r="D768" s="3" t="str">
        <f>"F800-20-0595-(AR 2.2)"</f>
        <v>F800-20-0595-(AR 2.2)</v>
      </c>
      <c r="E768" s="3" t="str">
        <f>"This is the way we go to school : a book about children around the world"</f>
        <v>This is the way we go to school : a book about children around the world</v>
      </c>
      <c r="F768" s="3" t="str">
        <f>"by Edith Baer ; illustrated by Steve Bjo?rkman"</f>
        <v>by Edith Baer ; illustrated by Steve Bjo?rkman</v>
      </c>
      <c r="G768" s="3" t="str">
        <f>"Scholastic"</f>
        <v>Scholastic</v>
      </c>
      <c r="H768" s="2" t="str">
        <f>"1990"</f>
        <v>1990</v>
      </c>
      <c r="I768" s="3" t="str">
        <f>""</f>
        <v/>
      </c>
    </row>
    <row r="769" spans="1:9" x14ac:dyDescent="0.3">
      <c r="A769" s="2">
        <v>768</v>
      </c>
      <c r="B769" s="4" t="s">
        <v>23</v>
      </c>
      <c r="C769" s="3" t="str">
        <f>"TFC000000547"</f>
        <v>TFC000000547</v>
      </c>
      <c r="D769" s="3" t="str">
        <f>"F800-20-0596-(AR 2.2)"</f>
        <v>F800-20-0596-(AR 2.2)</v>
      </c>
      <c r="E769" s="3" t="str">
        <f>"Too many puppies"</f>
        <v>Too many puppies</v>
      </c>
      <c r="F769" s="3" t="str">
        <f>"by Patience Brewster"</f>
        <v>by Patience Brewster</v>
      </c>
      <c r="G769" s="3" t="str">
        <f>"Scholastic"</f>
        <v>Scholastic</v>
      </c>
      <c r="H769" s="2" t="str">
        <f>"1997"</f>
        <v>1997</v>
      </c>
      <c r="I769" s="3" t="str">
        <f>""</f>
        <v/>
      </c>
    </row>
    <row r="770" spans="1:9" x14ac:dyDescent="0.3">
      <c r="A770" s="2">
        <v>769</v>
      </c>
      <c r="B770" s="4" t="s">
        <v>23</v>
      </c>
      <c r="C770" s="3" t="str">
        <f>"TFC000000548"</f>
        <v>TFC000000548</v>
      </c>
      <c r="D770" s="3" t="str">
        <f>"F800-20-0597-(AR 2.2)"</f>
        <v>F800-20-0597-(AR 2.2)</v>
      </c>
      <c r="E770" s="3" t="str">
        <f>"Silly Billy"</f>
        <v>Silly Billy</v>
      </c>
      <c r="F770" s="3" t="str">
        <f>"Anthony Browne"</f>
        <v>Anthony Browne</v>
      </c>
      <c r="G770" s="3" t="str">
        <f>"Walker Books"</f>
        <v>Walker Books</v>
      </c>
      <c r="H770" s="2" t="str">
        <f>"2007"</f>
        <v>2007</v>
      </c>
      <c r="I770" s="3" t="str">
        <f>""</f>
        <v/>
      </c>
    </row>
    <row r="771" spans="1:9" x14ac:dyDescent="0.3">
      <c r="A771" s="2">
        <v>770</v>
      </c>
      <c r="B771" s="4" t="s">
        <v>23</v>
      </c>
      <c r="C771" s="3" t="str">
        <f>"TFC000000550"</f>
        <v>TFC000000550</v>
      </c>
      <c r="D771" s="3" t="str">
        <f>"F800-20-0599t-(AR 2.2)"</f>
        <v>F800-20-0599t-(AR 2.2)</v>
      </c>
      <c r="E771" s="3" t="str">
        <f>"This is the bear"</f>
        <v>This is the bear</v>
      </c>
      <c r="F771" s="3" t="str">
        <f>"written by Sarah Hayes ; illustrated by Helen Craig"</f>
        <v>written by Sarah Hayes ; illustrated by Helen Craig</v>
      </c>
      <c r="G771" s="3" t="str">
        <f>"Walker Books"</f>
        <v>Walker Books</v>
      </c>
      <c r="H771" s="2" t="str">
        <f>"2011"</f>
        <v>2011</v>
      </c>
      <c r="I771" s="3" t="str">
        <f>""</f>
        <v/>
      </c>
    </row>
    <row r="772" spans="1:9" x14ac:dyDescent="0.3">
      <c r="A772" s="2">
        <v>771</v>
      </c>
      <c r="B772" s="4" t="s">
        <v>23</v>
      </c>
      <c r="C772" s="3" t="str">
        <f>"TFC000000551"</f>
        <v>TFC000000551</v>
      </c>
      <c r="D772" s="3" t="str">
        <f>"F800-20-0600-(AR 2.2)"</f>
        <v>F800-20-0600-(AR 2.2)</v>
      </c>
      <c r="E772" s="3" t="str">
        <f>"Ben's trumpet"</f>
        <v>Ben's trumpet</v>
      </c>
      <c r="F772" s="3" t="str">
        <f>"by Rachel Isadora"</f>
        <v>by Rachel Isadora</v>
      </c>
      <c r="G772" s="3" t="str">
        <f>"Greenwillow Books"</f>
        <v>Greenwillow Books</v>
      </c>
      <c r="H772" s="2" t="str">
        <f>"1979"</f>
        <v>1979</v>
      </c>
      <c r="I772" s="3" t="str">
        <f>""</f>
        <v/>
      </c>
    </row>
    <row r="773" spans="1:9" x14ac:dyDescent="0.3">
      <c r="A773" s="2">
        <v>772</v>
      </c>
      <c r="B773" s="4" t="s">
        <v>23</v>
      </c>
      <c r="C773" s="3" t="str">
        <f>"TFC000000552"</f>
        <v>TFC000000552</v>
      </c>
      <c r="D773" s="3" t="str">
        <f>"F800-20-0601-(AR 2.2)"</f>
        <v>F800-20-0601-(AR 2.2)</v>
      </c>
      <c r="E773" s="3" t="str">
        <f>"Crocodile and Hen : a Bakongo folktale"</f>
        <v>Crocodile and Hen : a Bakongo folktale</v>
      </c>
      <c r="F773" s="3" t="str">
        <f>"text by Joan M. Lexau ; pictures by Doug Cushman"</f>
        <v>text by Joan M. Lexau ; pictures by Doug Cushman</v>
      </c>
      <c r="G773" s="3" t="str">
        <f>"HarperTrophy:Moonjin Media"</f>
        <v>HarperTrophy:Moonjin Media</v>
      </c>
      <c r="H773" s="2" t="str">
        <f>"2001"</f>
        <v>2001</v>
      </c>
      <c r="I773" s="3" t="str">
        <f>""</f>
        <v/>
      </c>
    </row>
    <row r="774" spans="1:9" x14ac:dyDescent="0.3">
      <c r="A774" s="2">
        <v>773</v>
      </c>
      <c r="B774" s="4" t="s">
        <v>23</v>
      </c>
      <c r="C774" s="3" t="str">
        <f>"TFC000000553"</f>
        <v>TFC000000553</v>
      </c>
      <c r="D774" s="3" t="str">
        <f>"F800-20-0602-(AR 2.2)"</f>
        <v>F800-20-0602-(AR 2.2)</v>
      </c>
      <c r="E774" s="3" t="str">
        <f>"Suddenly"</f>
        <v>Suddenly</v>
      </c>
      <c r="F774" s="3" t="str">
        <f>"words and pictures by Colin McNaughton"</f>
        <v>words and pictures by Colin McNaughton</v>
      </c>
      <c r="G774" s="3" t="str">
        <f>"Voyager Books"</f>
        <v>Voyager Books</v>
      </c>
      <c r="H774" s="2" t="str">
        <f>"1998"</f>
        <v>1998</v>
      </c>
      <c r="I774" s="3" t="str">
        <f>""</f>
        <v/>
      </c>
    </row>
    <row r="775" spans="1:9" x14ac:dyDescent="0.3">
      <c r="A775" s="2">
        <v>774</v>
      </c>
      <c r="B775" s="4" t="s">
        <v>23</v>
      </c>
      <c r="C775" s="3" t="str">
        <f>"TFC000000554"</f>
        <v>TFC000000554</v>
      </c>
      <c r="D775" s="3" t="str">
        <f>"F800-20-0603-(AR 2.2)"</f>
        <v>F800-20-0603-(AR 2.2)</v>
      </c>
      <c r="E775" s="3" t="str">
        <f>"Little bear's friend"</f>
        <v>Little bear's friend</v>
      </c>
      <c r="F775" s="3" t="str">
        <f>"by Else Holmelund Minarik ; pictures by Maurice Sendak"</f>
        <v>by Else Holmelund Minarik ; pictures by Maurice Sendak</v>
      </c>
      <c r="G775" s="3" t="str">
        <f>"Harper"</f>
        <v>Harper</v>
      </c>
      <c r="H775" s="2" t="str">
        <f>"1988"</f>
        <v>1988</v>
      </c>
      <c r="I775" s="3" t="str">
        <f>""</f>
        <v/>
      </c>
    </row>
    <row r="776" spans="1:9" x14ac:dyDescent="0.3">
      <c r="A776" s="2">
        <v>775</v>
      </c>
      <c r="B776" s="4" t="s">
        <v>23</v>
      </c>
      <c r="C776" s="3" t="str">
        <f>"TFC000000555"</f>
        <v>TFC000000555</v>
      </c>
      <c r="D776" s="3" t="str">
        <f>"F800-20-0604-(AR 2.2)"</f>
        <v>F800-20-0604-(AR 2.2)</v>
      </c>
      <c r="E776" s="3" t="str">
        <f>"This book is haunted"</f>
        <v>This book is haunted</v>
      </c>
      <c r="F776" s="3" t="str">
        <f>"by Joanne Rocklin ; pictures by Joann Adinolfi"</f>
        <v>by Joanne Rocklin ; pictures by Joann Adinolfi</v>
      </c>
      <c r="G776" s="3" t="str">
        <f>"HarperTrophy"</f>
        <v>HarperTrophy</v>
      </c>
      <c r="H776" s="2" t="str">
        <f>"2002"</f>
        <v>2002</v>
      </c>
      <c r="I776" s="3" t="str">
        <f>""</f>
        <v/>
      </c>
    </row>
    <row r="777" spans="1:9" x14ac:dyDescent="0.3">
      <c r="A777" s="2">
        <v>776</v>
      </c>
      <c r="B777" s="4" t="s">
        <v>23</v>
      </c>
      <c r="C777" s="3" t="str">
        <f>"TFC000000556"</f>
        <v>TFC000000556</v>
      </c>
      <c r="D777" s="3" t="str">
        <f>"F800-20-0605-(AR 2.2)"</f>
        <v>F800-20-0605-(AR 2.2)</v>
      </c>
      <c r="E777" s="3" t="str">
        <f>"Around the year"</f>
        <v>Around the year</v>
      </c>
      <c r="F777" s="3" t="str">
        <f>"Tasha Tudor"</f>
        <v>Tasha Tudor</v>
      </c>
      <c r="G777" s="3" t="str">
        <f>"Simon＆schuster books for young reader"</f>
        <v>Simon＆schuster books for young reader</v>
      </c>
      <c r="H777" s="2" t="str">
        <f>"2001"</f>
        <v>2001</v>
      </c>
      <c r="I777" s="3" t="str">
        <f>""</f>
        <v/>
      </c>
    </row>
    <row r="778" spans="1:9" x14ac:dyDescent="0.3">
      <c r="A778" s="2">
        <v>777</v>
      </c>
      <c r="B778" s="4" t="s">
        <v>23</v>
      </c>
      <c r="C778" s="3" t="str">
        <f>"TFC000000557"</f>
        <v>TFC000000557</v>
      </c>
      <c r="D778" s="3" t="str">
        <f>"F800-20-0606t-(AR 2.2)"</f>
        <v>F800-20-0606t-(AR 2.2)</v>
      </c>
      <c r="E778" s="3" t="str">
        <f>"(A)tree is nice"</f>
        <v>(A)tree is nice</v>
      </c>
      <c r="F778" s="3" t="str">
        <f>"Janice May Udry ; pictures by Marc Simont."</f>
        <v>Janice May Udry ; pictures by Marc Simont.</v>
      </c>
      <c r="G778" s="3" t="str">
        <f>"HarperCollins Publishers"</f>
        <v>HarperCollins Publishers</v>
      </c>
      <c r="H778" s="2" t="str">
        <f>"1984"</f>
        <v>1984</v>
      </c>
      <c r="I778" s="3" t="str">
        <f>""</f>
        <v/>
      </c>
    </row>
    <row r="779" spans="1:9" x14ac:dyDescent="0.3">
      <c r="A779" s="2">
        <v>778</v>
      </c>
      <c r="B779" s="4" t="s">
        <v>23</v>
      </c>
      <c r="C779" s="3" t="str">
        <f>"TFC000000558"</f>
        <v>TFC000000558</v>
      </c>
      <c r="D779" s="3" t="str">
        <f>"F800-20-0607-(AR 2.2)"</f>
        <v>F800-20-0607-(AR 2.2)</v>
      </c>
      <c r="E779" s="3" t="str">
        <f>"Mouse paint"</f>
        <v>Mouse paint</v>
      </c>
      <c r="F779" s="3" t="str">
        <f>"by Ellen stoll Walsh"</f>
        <v>by Ellen stoll Walsh</v>
      </c>
      <c r="G779" s="3" t="str">
        <f>"Houghton Mifflin Harcourt"</f>
        <v>Houghton Mifflin Harcourt</v>
      </c>
      <c r="H779" s="2" t="str">
        <f>"1989"</f>
        <v>1989</v>
      </c>
      <c r="I779" s="3" t="str">
        <f>""</f>
        <v/>
      </c>
    </row>
    <row r="780" spans="1:9" x14ac:dyDescent="0.3">
      <c r="A780" s="2">
        <v>779</v>
      </c>
      <c r="B780" s="4" t="s">
        <v>23</v>
      </c>
      <c r="C780" s="3" t="str">
        <f>"TFC000000559"</f>
        <v>TFC000000559</v>
      </c>
      <c r="D780" s="3" t="str">
        <f>"F800-20-0608-(AR 2.2)"</f>
        <v>F800-20-0608-(AR 2.2)</v>
      </c>
      <c r="E780" s="3" t="str">
        <f>"Maybe tomorrow?"</f>
        <v>Maybe tomorrow?</v>
      </c>
      <c r="F780" s="3" t="str">
        <f>"by Charlotte Agell ; illustrated by Ana Ramirez Gonzalez"</f>
        <v>by Charlotte Agell ; illustrated by Ana Ramirez Gonzalez</v>
      </c>
      <c r="G780" s="3" t="str">
        <f>"Scholastic Press"</f>
        <v>Scholastic Press</v>
      </c>
      <c r="H780" s="2" t="str">
        <f>"2019"</f>
        <v>2019</v>
      </c>
      <c r="I780" s="3" t="str">
        <f>""</f>
        <v/>
      </c>
    </row>
    <row r="781" spans="1:9" x14ac:dyDescent="0.3">
      <c r="A781" s="2">
        <v>780</v>
      </c>
      <c r="B781" s="4" t="s">
        <v>23</v>
      </c>
      <c r="C781" s="3" t="str">
        <f>"TFC000000560"</f>
        <v>TFC000000560</v>
      </c>
      <c r="D781" s="3" t="str">
        <f>"F800-20-0609-(AR 2.2)"</f>
        <v>F800-20-0609-(AR 2.2)</v>
      </c>
      <c r="E781" s="3" t="str">
        <f>"Where's my teddy?"</f>
        <v>Where's my teddy?</v>
      </c>
      <c r="F781" s="3" t="str">
        <f>"Jez Alborough"</f>
        <v>Jez Alborough</v>
      </c>
      <c r="G781" s="3" t="str">
        <f>"Candlewick Press"</f>
        <v>Candlewick Press</v>
      </c>
      <c r="H781" s="2" t="str">
        <f>"2017"</f>
        <v>2017</v>
      </c>
      <c r="I781" s="3" t="str">
        <f>""</f>
        <v/>
      </c>
    </row>
    <row r="782" spans="1:9" x14ac:dyDescent="0.3">
      <c r="A782" s="2">
        <v>781</v>
      </c>
      <c r="B782" s="4" t="s">
        <v>23</v>
      </c>
      <c r="C782" s="3" t="str">
        <f>"TFC000000561"</f>
        <v>TFC000000561</v>
      </c>
      <c r="D782" s="3" t="str">
        <f>"F800-20-0610-(AR 2.2)"</f>
        <v>F800-20-0610-(AR 2.2)</v>
      </c>
      <c r="E782" s="3" t="str">
        <f>"Too many frogs!"</f>
        <v>Too many frogs!</v>
      </c>
      <c r="F782" s="3" t="str">
        <f>"Sandy Asher ; illustrations by Keith Graves"</f>
        <v>Sandy Asher ; illustrations by Keith Graves</v>
      </c>
      <c r="G782" s="3" t="str">
        <f>"Scholastic"</f>
        <v>Scholastic</v>
      </c>
      <c r="H782" s="2" t="str">
        <f>"2005"</f>
        <v>2005</v>
      </c>
      <c r="I782" s="3" t="str">
        <f>""</f>
        <v/>
      </c>
    </row>
    <row r="783" spans="1:9" x14ac:dyDescent="0.3">
      <c r="A783" s="2">
        <v>782</v>
      </c>
      <c r="B783" s="4" t="s">
        <v>23</v>
      </c>
      <c r="C783" s="3" t="str">
        <f>"TFC000000562"</f>
        <v>TFC000000562</v>
      </c>
      <c r="D783" s="3" t="str">
        <f>"F800-20-0611-(AR 2.2)"</f>
        <v>F800-20-0611-(AR 2.2)</v>
      </c>
      <c r="E783" s="3" t="str">
        <f>"Circle"</f>
        <v>Circle</v>
      </c>
      <c r="F783" s="3" t="str">
        <f>"by Mac Barnett ; illustrated by Jon Klassen"</f>
        <v>by Mac Barnett ; illustrated by Jon Klassen</v>
      </c>
      <c r="G783" s="3" t="str">
        <f>"Candlewick Press"</f>
        <v>Candlewick Press</v>
      </c>
      <c r="H783" s="2" t="str">
        <f>"2019"</f>
        <v>2019</v>
      </c>
      <c r="I783" s="3" t="str">
        <f>""</f>
        <v/>
      </c>
    </row>
    <row r="784" spans="1:9" x14ac:dyDescent="0.3">
      <c r="A784" s="2">
        <v>783</v>
      </c>
      <c r="B784" s="4" t="s">
        <v>23</v>
      </c>
      <c r="C784" s="3" t="str">
        <f>"TFC000000563"</f>
        <v>TFC000000563</v>
      </c>
      <c r="D784" s="3" t="str">
        <f>"F800-20-0612-(AR 2.2)"</f>
        <v>F800-20-0612-(AR 2.2)</v>
      </c>
      <c r="E784" s="3" t="str">
        <f>"There was an old lady who swallowed a shell!"</f>
        <v>There was an old lady who swallowed a shell!</v>
      </c>
      <c r="F784" s="3" t="str">
        <f>"by Lucille Colandro ; illustrated by Jared Lee"</f>
        <v>by Lucille Colandro ; illustrated by Jared Lee</v>
      </c>
      <c r="G784" s="3" t="str">
        <f>"Scholastic"</f>
        <v>Scholastic</v>
      </c>
      <c r="H784" s="2" t="str">
        <f>"2008"</f>
        <v>2008</v>
      </c>
      <c r="I784" s="3" t="str">
        <f>""</f>
        <v/>
      </c>
    </row>
    <row r="785" spans="1:9" x14ac:dyDescent="0.3">
      <c r="A785" s="2">
        <v>784</v>
      </c>
      <c r="B785" s="4" t="s">
        <v>23</v>
      </c>
      <c r="C785" s="3" t="str">
        <f>"TFC000000564"</f>
        <v>TFC000000564</v>
      </c>
      <c r="D785" s="3" t="str">
        <f>"F800-20-0613-(AR 2.2)"</f>
        <v>F800-20-0613-(AR 2.2)</v>
      </c>
      <c r="E785" s="3" t="str">
        <f>"I want my daddy!"</f>
        <v>I want my daddy!</v>
      </c>
      <c r="F785" s="3" t="str">
        <f>"by Tracey Corderoy ; illustrated by Alison Edgson"</f>
        <v>by Tracey Corderoy ; illustrated by Alison Edgson</v>
      </c>
      <c r="G785" s="3" t="str">
        <f>"Tiger Tales"</f>
        <v>Tiger Tales</v>
      </c>
      <c r="H785" s="2" t="str">
        <f>"2015"</f>
        <v>2015</v>
      </c>
      <c r="I785" s="3" t="str">
        <f>""</f>
        <v/>
      </c>
    </row>
    <row r="786" spans="1:9" x14ac:dyDescent="0.3">
      <c r="A786" s="2">
        <v>785</v>
      </c>
      <c r="B786" s="4" t="s">
        <v>23</v>
      </c>
      <c r="C786" s="3" t="str">
        <f>"TFC000000567"</f>
        <v>TFC000000567</v>
      </c>
      <c r="D786" s="3" t="str">
        <f>"F800-20-0616-(AR 2.2)"</f>
        <v>F800-20-0616-(AR 2.2)</v>
      </c>
      <c r="E786" s="3" t="str">
        <f>"Yasmin the zookeeper"</f>
        <v>Yasmin the zookeeper</v>
      </c>
      <c r="F786" s="3" t="str">
        <f>"written by Saadia Faruqi ; illustrated by Hatem Aly"</f>
        <v>written by Saadia Faruqi ; illustrated by Hatem Aly</v>
      </c>
      <c r="G786" s="3" t="str">
        <f>"Picture Window Books"</f>
        <v>Picture Window Books</v>
      </c>
      <c r="H786" s="2" t="str">
        <f>"2019"</f>
        <v>2019</v>
      </c>
      <c r="I786" s="3" t="str">
        <f>""</f>
        <v/>
      </c>
    </row>
    <row r="787" spans="1:9" x14ac:dyDescent="0.3">
      <c r="A787" s="2">
        <v>786</v>
      </c>
      <c r="B787" s="4" t="s">
        <v>23</v>
      </c>
      <c r="C787" s="3" t="str">
        <f>"TFC000000568"</f>
        <v>TFC000000568</v>
      </c>
      <c r="D787" s="3" t="str">
        <f>"F800-20-0617-(AR 2.2)"</f>
        <v>F800-20-0617-(AR 2.2)</v>
      </c>
      <c r="E787" s="3" t="str">
        <f>"Lola shapes the sky"</f>
        <v>Lola shapes the sky</v>
      </c>
      <c r="F787" s="3" t="str">
        <f>"Wendy Greenley ; illustrated by Paolo Domeniconi"</f>
        <v>Wendy Greenley ; illustrated by Paolo Domeniconi</v>
      </c>
      <c r="G787" s="3" t="str">
        <f>"Creative Editions"</f>
        <v>Creative Editions</v>
      </c>
      <c r="H787" s="2" t="str">
        <f>"2019"</f>
        <v>2019</v>
      </c>
      <c r="I787" s="3" t="str">
        <f>""</f>
        <v/>
      </c>
    </row>
    <row r="788" spans="1:9" x14ac:dyDescent="0.3">
      <c r="A788" s="2">
        <v>787</v>
      </c>
      <c r="B788" s="4" t="s">
        <v>23</v>
      </c>
      <c r="C788" s="3" t="str">
        <f>"TFC000000569"</f>
        <v>TFC000000569</v>
      </c>
      <c r="D788" s="3" t="str">
        <f>"F800-20-0618-(AR 2.2)"</f>
        <v>F800-20-0618-(AR 2.2)</v>
      </c>
      <c r="E788" s="3" t="str">
        <f>"(The)Evil Princess vs. the Brave Knight"</f>
        <v>(The)Evil Princess vs. the Brave Knight</v>
      </c>
      <c r="F788" s="3" t="str">
        <f>"Jennifer L. Holm, Matthew Holm"</f>
        <v>Jennifer L. Holm, Matthew Holm</v>
      </c>
      <c r="G788" s="3" t="str">
        <f>"Random House"</f>
        <v>Random House</v>
      </c>
      <c r="H788" s="2" t="str">
        <f>"2019"</f>
        <v>2019</v>
      </c>
      <c r="I788" s="3" t="str">
        <f>""</f>
        <v/>
      </c>
    </row>
    <row r="789" spans="1:9" x14ac:dyDescent="0.3">
      <c r="A789" s="2">
        <v>788</v>
      </c>
      <c r="B789" s="4" t="s">
        <v>23</v>
      </c>
      <c r="C789" s="3" t="str">
        <f>"TFC000000570"</f>
        <v>TFC000000570</v>
      </c>
      <c r="D789" s="3" t="str">
        <f>"F800-20-0619-(AR 2.2)"</f>
        <v>F800-20-0619-(AR 2.2)</v>
      </c>
      <c r="E789" s="3" t="str">
        <f>"(The)great eggscape!"</f>
        <v>(The)great eggscape!</v>
      </c>
      <c r="F789" s="3" t="str">
        <f>"written by Jory John ; cover illustration by Pete Oswald ; interior illustrations by Saba Joshaghani based on artwork by Pete Oswald"</f>
        <v>written by Jory John ; cover illustration by Pete Oswald ; interior illustrations by Saba Joshaghani based on artwork by Pete Oswald</v>
      </c>
      <c r="G789" s="3" t="str">
        <f>"Harper"</f>
        <v>Harper</v>
      </c>
      <c r="H789" s="2" t="str">
        <f>"2020"</f>
        <v>2020</v>
      </c>
      <c r="I789" s="3" t="str">
        <f>""</f>
        <v/>
      </c>
    </row>
    <row r="790" spans="1:9" x14ac:dyDescent="0.3">
      <c r="A790" s="2">
        <v>789</v>
      </c>
      <c r="B790" s="4" t="s">
        <v>23</v>
      </c>
      <c r="C790" s="3" t="str">
        <f>"TFC000000571"</f>
        <v>TFC000000571</v>
      </c>
      <c r="D790" s="3" t="str">
        <f>"F800-20-0620-(AR 2.2)"</f>
        <v>F800-20-0620-(AR 2.2)</v>
      </c>
      <c r="E790" s="3" t="str">
        <f>"Lunch lady and the league of librarians"</f>
        <v>Lunch lady and the league of librarians</v>
      </c>
      <c r="F790" s="3" t="str">
        <f>"by Jarrett Krosoczka"</f>
        <v>by Jarrett Krosoczka</v>
      </c>
      <c r="G790" s="3" t="str">
        <f>"Alfred A. Knopf"</f>
        <v>Alfred A. Knopf</v>
      </c>
      <c r="H790" s="2" t="str">
        <f>"2009"</f>
        <v>2009</v>
      </c>
      <c r="I790" s="3" t="str">
        <f>""</f>
        <v/>
      </c>
    </row>
    <row r="791" spans="1:9" x14ac:dyDescent="0.3">
      <c r="A791" s="2">
        <v>790</v>
      </c>
      <c r="B791" s="4" t="s">
        <v>23</v>
      </c>
      <c r="C791" s="3" t="str">
        <f>"TFC000000572"</f>
        <v>TFC000000572</v>
      </c>
      <c r="D791" s="3" t="str">
        <f>"F800-20-0621-(AR 2.2)"</f>
        <v>F800-20-0621-(AR 2.2)</v>
      </c>
      <c r="E791" s="3" t="str">
        <f>"(A)big mooncake for little star"</f>
        <v>(A)big mooncake for little star</v>
      </c>
      <c r="F791" s="3" t="str">
        <f>"Grace Lin"</f>
        <v>Grace Lin</v>
      </c>
      <c r="G791" s="3" t="str">
        <f>"Little, Brown and Company"</f>
        <v>Little, Brown and Company</v>
      </c>
      <c r="H791" s="2" t="str">
        <f>"2018"</f>
        <v>2018</v>
      </c>
      <c r="I791" s="3" t="str">
        <f>""</f>
        <v/>
      </c>
    </row>
    <row r="792" spans="1:9" x14ac:dyDescent="0.3">
      <c r="A792" s="2">
        <v>791</v>
      </c>
      <c r="B792" s="4" t="s">
        <v>23</v>
      </c>
      <c r="C792" s="3" t="str">
        <f>"TFC000000573"</f>
        <v>TFC000000573</v>
      </c>
      <c r="D792" s="3" t="str">
        <f>"F800-20-0622-(AR 2.2)"</f>
        <v>F800-20-0622-(AR 2.2)</v>
      </c>
      <c r="E792" s="3" t="str">
        <f>"Before you came"</f>
        <v>Before you came</v>
      </c>
      <c r="F792" s="3" t="str">
        <f>"by Patricia MacLachlan, Emily MacLachlan Charest ; illustrated by David Diaz"</f>
        <v>by Patricia MacLachlan, Emily MacLachlan Charest ; illustrated by David Diaz</v>
      </c>
      <c r="G792" s="3" t="str">
        <f>"Katherine Tegen Book"</f>
        <v>Katherine Tegen Book</v>
      </c>
      <c r="H792" s="2" t="str">
        <f>"2011"</f>
        <v>2011</v>
      </c>
      <c r="I792" s="3" t="str">
        <f>""</f>
        <v/>
      </c>
    </row>
    <row r="793" spans="1:9" x14ac:dyDescent="0.3">
      <c r="A793" s="2">
        <v>792</v>
      </c>
      <c r="B793" s="4" t="s">
        <v>23</v>
      </c>
      <c r="C793" s="3" t="str">
        <f>"TFC000000574"</f>
        <v>TFC000000574</v>
      </c>
      <c r="D793" s="3" t="str">
        <f>"F800-20-0623-(AR 2.2)"</f>
        <v>F800-20-0623-(AR 2.2)</v>
      </c>
      <c r="E793" s="3" t="str">
        <f>"Sky color"</f>
        <v>Sky color</v>
      </c>
      <c r="F793" s="3" t="str">
        <f>"Peter H. Reynolds"</f>
        <v>Peter H. Reynolds</v>
      </c>
      <c r="G793" s="3" t="str">
        <f>"Candlewick Press"</f>
        <v>Candlewick Press</v>
      </c>
      <c r="H793" s="2" t="str">
        <f>"2012"</f>
        <v>2012</v>
      </c>
      <c r="I793" s="3" t="str">
        <f>""</f>
        <v/>
      </c>
    </row>
    <row r="794" spans="1:9" x14ac:dyDescent="0.3">
      <c r="A794" s="2">
        <v>793</v>
      </c>
      <c r="B794" s="4" t="s">
        <v>23</v>
      </c>
      <c r="C794" s="3" t="str">
        <f>"TFC000000575"</f>
        <v>TFC000000575</v>
      </c>
      <c r="D794" s="3" t="str">
        <f>"F800-20-0624-(AR 2.2)"</f>
        <v>F800-20-0624-(AR 2.2)</v>
      </c>
      <c r="E794" s="3" t="str">
        <f>"Mr. Putter &amp; Tabby feed the fish"</f>
        <v>Mr. Putter &amp; Tabby feed the fish</v>
      </c>
      <c r="F794" s="3" t="str">
        <f>"Cynthia Rylant ; illustrated by Arthur Howard"</f>
        <v>Cynthia Rylant ; illustrated by Arthur Howard</v>
      </c>
      <c r="G794" s="3" t="str">
        <f>"Harcourt Mifflin Harcourt"</f>
        <v>Harcourt Mifflin Harcourt</v>
      </c>
      <c r="H794" s="2" t="str">
        <f>"2001"</f>
        <v>2001</v>
      </c>
      <c r="I794" s="3" t="str">
        <f>""</f>
        <v/>
      </c>
    </row>
    <row r="795" spans="1:9" x14ac:dyDescent="0.3">
      <c r="A795" s="2">
        <v>794</v>
      </c>
      <c r="B795" s="4" t="s">
        <v>23</v>
      </c>
      <c r="C795" s="3" t="str">
        <f>"TFC000000576"</f>
        <v>TFC000000576</v>
      </c>
      <c r="D795" s="3" t="str">
        <f>"F800-20-0625-(AR 2.2)"</f>
        <v>F800-20-0625-(AR 2.2)</v>
      </c>
      <c r="E795" s="3" t="str">
        <f>"Interrupting chicken"</f>
        <v>Interrupting chicken</v>
      </c>
      <c r="F795" s="3" t="str">
        <f>"David Ezra Stein"</f>
        <v>David Ezra Stein</v>
      </c>
      <c r="G795" s="3" t="str">
        <f>"Candlewick Press"</f>
        <v>Candlewick Press</v>
      </c>
      <c r="H795" s="2" t="str">
        <f>"2010"</f>
        <v>2010</v>
      </c>
      <c r="I795" s="3" t="str">
        <f>""</f>
        <v/>
      </c>
    </row>
    <row r="796" spans="1:9" x14ac:dyDescent="0.3">
      <c r="A796" s="2">
        <v>795</v>
      </c>
      <c r="B796" s="4" t="s">
        <v>23</v>
      </c>
      <c r="C796" s="3" t="str">
        <f>"TFC000000577"</f>
        <v>TFC000000577</v>
      </c>
      <c r="D796" s="3" t="str">
        <f>"F800-20-0626-(AR 2.2)"</f>
        <v>F800-20-0626-(AR 2.2)</v>
      </c>
      <c r="E796" s="3" t="str">
        <f>"(The)water princess"</f>
        <v>(The)water princess</v>
      </c>
      <c r="F796" s="3" t="str">
        <f>"written by Susan Verde ; illustrated by Peter H. Reynolds"</f>
        <v>written by Susan Verde ; illustrated by Peter H. Reynolds</v>
      </c>
      <c r="G796" s="3" t="str">
        <f>"G.P. Putnam's Sons"</f>
        <v>G.P. Putnam's Sons</v>
      </c>
      <c r="H796" s="2" t="str">
        <f>"2016"</f>
        <v>2016</v>
      </c>
      <c r="I796" s="3" t="str">
        <f>""</f>
        <v/>
      </c>
    </row>
    <row r="797" spans="1:9" x14ac:dyDescent="0.3">
      <c r="A797" s="2">
        <v>796</v>
      </c>
      <c r="B797" s="4" t="s">
        <v>23</v>
      </c>
      <c r="C797" s="3" t="str">
        <f>"TFC000004400"</f>
        <v>TFC000004400</v>
      </c>
      <c r="D797" s="3" t="str">
        <f>"F800-22-0209-(AR 2.2)"</f>
        <v>F800-22-0209-(AR 2.2)</v>
      </c>
      <c r="E797" s="3" t="str">
        <f>"Through with the zoo"</f>
        <v>Through with the zoo</v>
      </c>
      <c r="F797" s="3" t="str">
        <f>"by Jacob Grant"</f>
        <v>by Jacob Grant</v>
      </c>
      <c r="G797" s="3" t="str">
        <f>"Feiwel and Friends"</f>
        <v>Feiwel and Friends</v>
      </c>
      <c r="H797" s="2" t="str">
        <f>"2017"</f>
        <v>2017</v>
      </c>
      <c r="I797" s="3" t="str">
        <f>""</f>
        <v/>
      </c>
    </row>
    <row r="798" spans="1:9" x14ac:dyDescent="0.3">
      <c r="A798" s="2">
        <v>797</v>
      </c>
      <c r="B798" s="4" t="s">
        <v>23</v>
      </c>
      <c r="C798" s="3" t="str">
        <f>"TFC000003307"</f>
        <v>TFC000003307</v>
      </c>
      <c r="D798" s="3" t="str">
        <f>"F800-21-0164-(AR 2.2)"</f>
        <v>F800-21-0164-(AR 2.2)</v>
      </c>
      <c r="E798" s="3" t="str">
        <f>"Catkwondo"</f>
        <v>Catkwondo</v>
      </c>
      <c r="F798" s="3" t="str">
        <f>"by Lisl H. Detlefsen ; art by Erin Hunting"</f>
        <v>by Lisl H. Detlefsen ; art by Erin Hunting</v>
      </c>
      <c r="G798" s="3" t="str">
        <f>"Capstone Editions"</f>
        <v>Capstone Editions</v>
      </c>
      <c r="H798" s="2" t="str">
        <f>"2020"</f>
        <v>2020</v>
      </c>
      <c r="I798" s="3" t="str">
        <f>""</f>
        <v/>
      </c>
    </row>
    <row r="799" spans="1:9" x14ac:dyDescent="0.3">
      <c r="A799" s="2">
        <v>798</v>
      </c>
      <c r="B799" s="4" t="s">
        <v>23</v>
      </c>
      <c r="C799" s="3" t="str">
        <f>"TFC000002828"</f>
        <v>TFC000002828</v>
      </c>
      <c r="D799" s="3" t="str">
        <f>"F800-20-0628-(AR 2.2)"</f>
        <v>F800-20-0628-(AR 2.2)</v>
      </c>
      <c r="E799" s="3" t="str">
        <f>"Wonderful worms"</f>
        <v>Wonderful worms</v>
      </c>
      <c r="F799" s="3" t="str">
        <f>"by Linda Glaser ; pictures by Loretta Krupinski"</f>
        <v>by Linda Glaser ; pictures by Loretta Krupinski</v>
      </c>
      <c r="G799" s="3" t="str">
        <f>"Scholastic"</f>
        <v>Scholastic</v>
      </c>
      <c r="H799" s="2" t="str">
        <f>"2001"</f>
        <v>2001</v>
      </c>
      <c r="I799" s="3" t="str">
        <f>""</f>
        <v/>
      </c>
    </row>
    <row r="800" spans="1:9" x14ac:dyDescent="0.3">
      <c r="A800" s="2">
        <v>799</v>
      </c>
      <c r="B800" s="4" t="s">
        <v>23</v>
      </c>
      <c r="C800" s="3" t="str">
        <f>"TFC000003005"</f>
        <v>TFC000003005</v>
      </c>
      <c r="D800" s="3" t="str">
        <f>"F800-20-0629-(AR 2.2)"</f>
        <v>F800-20-0629-(AR 2.2)</v>
      </c>
      <c r="E800" s="3" t="str">
        <f>"Look out, t-ball!"</f>
        <v>Look out, t-ball!</v>
      </c>
      <c r="F800" s="3" t="str">
        <f>"by Shawn Pryor ; illustrated by Amanda Erb"</f>
        <v>by Shawn Pryor ; illustrated by Amanda Erb</v>
      </c>
      <c r="G800" s="3" t="str">
        <f>"Picture Window Books"</f>
        <v>Picture Window Books</v>
      </c>
      <c r="H800" s="2" t="str">
        <f>"2020"</f>
        <v>2020</v>
      </c>
      <c r="I800" s="3" t="str">
        <f>""</f>
        <v/>
      </c>
    </row>
    <row r="801" spans="1:9" x14ac:dyDescent="0.3">
      <c r="A801" s="2">
        <v>800</v>
      </c>
      <c r="B801" s="4" t="s">
        <v>23</v>
      </c>
      <c r="C801" s="3" t="str">
        <f>"TFC000003098"</f>
        <v>TFC000003098</v>
      </c>
      <c r="D801" s="3" t="str">
        <f>"F800-20-0631-(AR 2.2)"</f>
        <v>F800-20-0631-(AR 2.2)</v>
      </c>
      <c r="E801" s="3" t="str">
        <f>"Where's my teddy?"</f>
        <v>Where's my teddy?</v>
      </c>
      <c r="F801" s="3" t="str">
        <f>"Jez Alborough"</f>
        <v>Jez Alborough</v>
      </c>
      <c r="G801" s="3" t="str">
        <f>"Walker Books"</f>
        <v>Walker Books</v>
      </c>
      <c r="H801" s="2" t="str">
        <f>"2017"</f>
        <v>2017</v>
      </c>
      <c r="I801" s="3" t="str">
        <f>""</f>
        <v/>
      </c>
    </row>
    <row r="802" spans="1:9" x14ac:dyDescent="0.3">
      <c r="A802" s="2">
        <v>801</v>
      </c>
      <c r="B802" s="4" t="s">
        <v>23</v>
      </c>
      <c r="C802" s="3" t="str">
        <f>"TFC000003182"</f>
        <v>TFC000003182</v>
      </c>
      <c r="D802" s="3" t="str">
        <f>"F800-20-0632-(AR 2.2)"</f>
        <v>F800-20-0632-(AR 2.2)</v>
      </c>
      <c r="E802" s="3" t="str">
        <f>"(The)wolf, the duck &amp; the mouse"</f>
        <v>(The)wolf, the duck &amp; the mouse</v>
      </c>
      <c r="F802" s="3" t="str">
        <f>"written by Mac Barnett ; illustrated by Jon Klassen"</f>
        <v>written by Mac Barnett ; illustrated by Jon Klassen</v>
      </c>
      <c r="G802" s="3" t="str">
        <f>"Candlewick Press"</f>
        <v>Candlewick Press</v>
      </c>
      <c r="H802" s="2" t="str">
        <f>"2017"</f>
        <v>2017</v>
      </c>
      <c r="I802" s="3" t="str">
        <f>""</f>
        <v/>
      </c>
    </row>
    <row r="803" spans="1:9" x14ac:dyDescent="0.3">
      <c r="A803" s="2">
        <v>802</v>
      </c>
      <c r="B803" s="4" t="s">
        <v>23</v>
      </c>
      <c r="C803" s="3" t="str">
        <f>"TFC000003241"</f>
        <v>TFC000003241</v>
      </c>
      <c r="D803" s="3" t="str">
        <f>"F800-21-0158-(AR 2.2)"</f>
        <v>F800-21-0158-(AR 2.2)</v>
      </c>
      <c r="E803" s="3" t="str">
        <f>"When I get bigger"</f>
        <v>When I get bigger</v>
      </c>
      <c r="F803" s="3" t="str">
        <f>"by Mercer Mayer"</f>
        <v>by Mercer Mayer</v>
      </c>
      <c r="G803" s="3" t="str">
        <f>"Random House"</f>
        <v>Random House</v>
      </c>
      <c r="H803" s="2" t="str">
        <f>"2006"</f>
        <v>2006</v>
      </c>
      <c r="I803" s="3" t="str">
        <f>""</f>
        <v/>
      </c>
    </row>
    <row r="804" spans="1:9" x14ac:dyDescent="0.3">
      <c r="A804" s="2">
        <v>803</v>
      </c>
      <c r="B804" s="4" t="s">
        <v>23</v>
      </c>
      <c r="C804" s="3" t="str">
        <f>"TFC000003242"</f>
        <v>TFC000003242</v>
      </c>
      <c r="D804" s="3" t="str">
        <f>"F800-21-0159-(AR 2.2)"</f>
        <v>F800-21-0159-(AR 2.2)</v>
      </c>
      <c r="E804" s="3" t="str">
        <f>"I've won, no I've won, no I've won"</f>
        <v>I've won, no I've won, no I've won</v>
      </c>
      <c r="F804" s="3" t="str">
        <f>"by Lauren Child"</f>
        <v>by Lauren Child</v>
      </c>
      <c r="G804" s="3" t="str">
        <f>"Grosset &amp; Dunlap:Penguin Group"</f>
        <v>Grosset &amp; Dunlap:Penguin Group</v>
      </c>
      <c r="H804" s="2" t="str">
        <f>"2006"</f>
        <v>2006</v>
      </c>
      <c r="I804" s="3" t="str">
        <f>""</f>
        <v/>
      </c>
    </row>
    <row r="805" spans="1:9" x14ac:dyDescent="0.3">
      <c r="A805" s="2">
        <v>804</v>
      </c>
      <c r="B805" s="4" t="s">
        <v>23</v>
      </c>
      <c r="C805" s="3" t="str">
        <f>"TFC000003243"</f>
        <v>TFC000003243</v>
      </c>
      <c r="D805" s="3" t="str">
        <f>"F800-21-0160-(AR 2.2)"</f>
        <v>F800-21-0160-(AR 2.2)</v>
      </c>
      <c r="E805" s="3" t="str">
        <f>"Arthur's eyes"</f>
        <v>Arthur's eyes</v>
      </c>
      <c r="F805" s="3" t="str">
        <f>"by Marc Brown"</f>
        <v>by Marc Brown</v>
      </c>
      <c r="G805" s="3" t="str">
        <f>"Little, Brown"</f>
        <v>Little, Brown</v>
      </c>
      <c r="H805" s="2" t="str">
        <f>"1986"</f>
        <v>1986</v>
      </c>
      <c r="I805" s="3" t="str">
        <f>""</f>
        <v/>
      </c>
    </row>
    <row r="806" spans="1:9" x14ac:dyDescent="0.3">
      <c r="A806" s="2">
        <v>805</v>
      </c>
      <c r="B806" s="4" t="s">
        <v>23</v>
      </c>
      <c r="C806" s="3" t="str">
        <f>"TFC000003244"</f>
        <v>TFC000003244</v>
      </c>
      <c r="D806" s="3" t="str">
        <f>"F800-21-0161-(AR 2.2)"</f>
        <v>F800-21-0161-(AR 2.2)</v>
      </c>
      <c r="E806" s="3" t="str">
        <f>"I can do anything that's everything all on my own"</f>
        <v>I can do anything that's everything all on my own</v>
      </c>
      <c r="F806" s="3" t="str">
        <f>"by Lauren Child"</f>
        <v>by Lauren Child</v>
      </c>
      <c r="G806" s="3" t="str">
        <f>"Grosset &amp; Dunlap"</f>
        <v>Grosset &amp; Dunlap</v>
      </c>
      <c r="H806" s="2" t="str">
        <f>"2008"</f>
        <v>2008</v>
      </c>
      <c r="I806" s="3" t="str">
        <f>""</f>
        <v/>
      </c>
    </row>
    <row r="807" spans="1:9" x14ac:dyDescent="0.3">
      <c r="A807" s="2">
        <v>806</v>
      </c>
      <c r="B807" s="4" t="s">
        <v>23</v>
      </c>
      <c r="C807" s="3" t="str">
        <f>"TFC000003246"</f>
        <v>TFC000003246</v>
      </c>
      <c r="D807" s="3" t="str">
        <f>"F800-21-0162-(AR 2.2)"</f>
        <v>F800-21-0162-(AR 2.2)</v>
      </c>
      <c r="E807" s="3" t="str">
        <f>"Just me and my mom"</f>
        <v>Just me and my mom</v>
      </c>
      <c r="F807" s="3" t="str">
        <f>"by Mercer Mayer"</f>
        <v>by Mercer Mayer</v>
      </c>
      <c r="G807" s="3" t="str">
        <f>"Random House"</f>
        <v>Random House</v>
      </c>
      <c r="H807" s="2" t="str">
        <f>"2014"</f>
        <v>2014</v>
      </c>
      <c r="I807" s="3" t="str">
        <f>""</f>
        <v/>
      </c>
    </row>
    <row r="808" spans="1:9" x14ac:dyDescent="0.3">
      <c r="A808" s="2">
        <v>807</v>
      </c>
      <c r="B808" s="4" t="s">
        <v>23</v>
      </c>
      <c r="C808" s="3" t="str">
        <f>"TFC000003281"</f>
        <v>TFC000003281</v>
      </c>
      <c r="D808" s="3" t="str">
        <f>"F800-21-0163-(AR 2.2)"</f>
        <v>F800-21-0163-(AR 2.2)</v>
      </c>
      <c r="E808" s="3" t="str">
        <f>"Pirate Mom"</f>
        <v>Pirate Mom</v>
      </c>
      <c r="F808" s="3" t="str">
        <f>"by Deborah Underwood ; illustrated by Stephen Gilpin"</f>
        <v>by Deborah Underwood ; illustrated by Stephen Gilpin</v>
      </c>
      <c r="G808" s="3" t="str">
        <f>"Random House"</f>
        <v>Random House</v>
      </c>
      <c r="H808" s="2" t="str">
        <f>"2005"</f>
        <v>2005</v>
      </c>
      <c r="I808" s="3" t="str">
        <f>""</f>
        <v/>
      </c>
    </row>
    <row r="809" spans="1:9" x14ac:dyDescent="0.3">
      <c r="A809" s="2">
        <v>808</v>
      </c>
      <c r="B809" s="4" t="s">
        <v>23</v>
      </c>
      <c r="C809" s="3" t="str">
        <f>"TFC000003308"</f>
        <v>TFC000003308</v>
      </c>
      <c r="D809" s="3" t="str">
        <f>"F400-21-0156-(AR 2.2)"</f>
        <v>F400-21-0156-(AR 2.2)</v>
      </c>
      <c r="E809" s="3" t="str">
        <f>"Komodo dragon"</f>
        <v>Komodo dragon</v>
      </c>
      <c r="F809" s="3" t="str">
        <f>"by Julie Murray"</f>
        <v>by Julie Murray</v>
      </c>
      <c r="G809" s="3" t="str">
        <f>"Dash!"</f>
        <v>Dash!</v>
      </c>
      <c r="H809" s="2" t="str">
        <f>"2021"</f>
        <v>2021</v>
      </c>
      <c r="I809" s="3" t="str">
        <f>""</f>
        <v/>
      </c>
    </row>
    <row r="810" spans="1:9" x14ac:dyDescent="0.3">
      <c r="A810" s="2">
        <v>809</v>
      </c>
      <c r="B810" s="4" t="s">
        <v>23</v>
      </c>
      <c r="C810" s="3" t="str">
        <f>"TFC000003541"</f>
        <v>TFC000003541</v>
      </c>
      <c r="D810" s="3" t="str">
        <f>"F800-21-0166-(AR 2.2)"</f>
        <v>F800-21-0166-(AR 2.2)</v>
      </c>
      <c r="E810" s="3" t="str">
        <f>"Bear snores on"</f>
        <v>Bear snores on</v>
      </c>
      <c r="F810" s="3" t="str">
        <f>"by Karma Wilson ; illustrations by Jane Chapman"</f>
        <v>by Karma Wilson ; illustrations by Jane Chapman</v>
      </c>
      <c r="G810" s="3" t="str">
        <f>"Little Simon"</f>
        <v>Little Simon</v>
      </c>
      <c r="H810" s="2" t="str">
        <f>"2005"</f>
        <v>2005</v>
      </c>
      <c r="I810" s="3" t="str">
        <f>""</f>
        <v/>
      </c>
    </row>
    <row r="811" spans="1:9" x14ac:dyDescent="0.3">
      <c r="A811" s="2">
        <v>810</v>
      </c>
      <c r="B811" s="4" t="s">
        <v>23</v>
      </c>
      <c r="C811" s="3" t="str">
        <f>"TFC000003599"</f>
        <v>TFC000003599</v>
      </c>
      <c r="D811" s="3" t="str">
        <f>"F800-21-0167-(AR 2.2)"</f>
        <v>F800-21-0167-(AR 2.2)</v>
      </c>
      <c r="E811" s="3" t="str">
        <f>"Toot &amp; puddle"</f>
        <v>Toot &amp; puddle</v>
      </c>
      <c r="F811" s="3" t="str">
        <f>"by Holly Hobbie"</f>
        <v>by Holly Hobbie</v>
      </c>
      <c r="G811" s="3" t="str">
        <f>"Little, Brown and Company:Turtleback books"</f>
        <v>Little, Brown and Company:Turtleback books</v>
      </c>
      <c r="H811" s="2" t="str">
        <f>"2020"</f>
        <v>2020</v>
      </c>
      <c r="I811" s="3" t="str">
        <f>""</f>
        <v/>
      </c>
    </row>
    <row r="812" spans="1:9" x14ac:dyDescent="0.3">
      <c r="A812" s="2">
        <v>811</v>
      </c>
      <c r="B812" s="4" t="s">
        <v>23</v>
      </c>
      <c r="C812" s="3" t="str">
        <f>"TFC000003683"</f>
        <v>TFC000003683</v>
      </c>
      <c r="D812" s="3" t="str">
        <f>"F800-21-0169-(AR 2.2)"</f>
        <v>F800-21-0169-(AR 2.2)</v>
      </c>
      <c r="E812" s="3" t="str">
        <f>"Queen of the world!"</f>
        <v>Queen of the world!</v>
      </c>
      <c r="F812" s="3" t="str">
        <f>"by Jennifer L. Holm, Matthew Holm"</f>
        <v>by Jennifer L. Holm, Matthew Holm</v>
      </c>
      <c r="G812" s="3" t="str">
        <f>"Random House"</f>
        <v>Random House</v>
      </c>
      <c r="H812" s="2" t="str">
        <f>"2005"</f>
        <v>2005</v>
      </c>
      <c r="I812" s="3" t="str">
        <f>""</f>
        <v/>
      </c>
    </row>
    <row r="813" spans="1:9" x14ac:dyDescent="0.3">
      <c r="A813" s="2">
        <v>812</v>
      </c>
      <c r="B813" s="4" t="s">
        <v>23</v>
      </c>
      <c r="C813" s="3" t="str">
        <f>"TFC000003689"</f>
        <v>TFC000003689</v>
      </c>
      <c r="D813" s="3" t="str">
        <f>"F800-21-0170-(AR 2.2)"</f>
        <v>F800-21-0170-(AR 2.2)</v>
      </c>
      <c r="E813" s="3" t="str">
        <f>"Skater girl"</f>
        <v>Skater girl</v>
      </c>
      <c r="F813" s="3" t="str">
        <f>"by Jennifer L. Holm, Matthew Holm"</f>
        <v>by Jennifer L. Holm, Matthew Holm</v>
      </c>
      <c r="G813" s="3" t="str">
        <f>"Random House"</f>
        <v>Random House</v>
      </c>
      <c r="H813" s="2" t="str">
        <f>"2007"</f>
        <v>2007</v>
      </c>
      <c r="I813" s="3" t="str">
        <f>""</f>
        <v/>
      </c>
    </row>
    <row r="814" spans="1:9" x14ac:dyDescent="0.3">
      <c r="A814" s="2">
        <v>813</v>
      </c>
      <c r="B814" s="4" t="s">
        <v>23</v>
      </c>
      <c r="C814" s="3" t="str">
        <f>"TFC000003694"</f>
        <v>TFC000003694</v>
      </c>
      <c r="D814" s="3" t="str">
        <f>"F800-21-0171-(AR 2.2)"</f>
        <v>F800-21-0171-(AR 2.2)</v>
      </c>
      <c r="E814" s="3" t="str">
        <f>"Burns rubber"</f>
        <v>Burns rubber</v>
      </c>
      <c r="F814" s="3" t="str">
        <f>"by Jennifer L. Holm, Matthew Holm"</f>
        <v>by Jennifer L. Holm, Matthew Holm</v>
      </c>
      <c r="G814" s="3" t="str">
        <f>"Random House"</f>
        <v>Random House</v>
      </c>
      <c r="H814" s="2" t="str">
        <f>"2010"</f>
        <v>2010</v>
      </c>
      <c r="I814" s="3" t="str">
        <f>""</f>
        <v/>
      </c>
    </row>
    <row r="815" spans="1:9" x14ac:dyDescent="0.3">
      <c r="A815" s="2">
        <v>814</v>
      </c>
      <c r="B815" s="4" t="s">
        <v>23</v>
      </c>
      <c r="C815" s="3" t="str">
        <f>"TFC000003702"</f>
        <v>TFC000003702</v>
      </c>
      <c r="D815" s="3" t="str">
        <f>"F800-21-0172-(AR 2.2)"</f>
        <v>F800-21-0172-(AR 2.2)</v>
      </c>
      <c r="E815" s="3" t="str">
        <f>"Beak &amp; Ally. #1, Unlikely friends"</f>
        <v>Beak &amp; Ally. #1, Unlikely friends</v>
      </c>
      <c r="F815" s="3" t="str">
        <f>"by Norm Feuti"</f>
        <v>by Norm Feuti</v>
      </c>
      <c r="G815" s="3" t="str">
        <f>"HarperAlley, an imprint of HarperCollins Publishers"</f>
        <v>HarperAlley, an imprint of HarperCollins Publishers</v>
      </c>
      <c r="H815" s="2" t="str">
        <f>"2021"</f>
        <v>2021</v>
      </c>
      <c r="I815" s="3" t="str">
        <f>""</f>
        <v/>
      </c>
    </row>
    <row r="816" spans="1:9" x14ac:dyDescent="0.3">
      <c r="A816" s="2">
        <v>815</v>
      </c>
      <c r="B816" s="4" t="s">
        <v>23</v>
      </c>
      <c r="C816" s="3" t="str">
        <f>"TFC000003707"</f>
        <v>TFC000003707</v>
      </c>
      <c r="D816" s="3" t="str">
        <f>"F800-21-0173-(AR 2.2)"</f>
        <v>F800-21-0173-(AR 2.2)</v>
      </c>
      <c r="E816" s="3" t="str">
        <f>"Your name is a song"</f>
        <v>Your name is a song</v>
      </c>
      <c r="F816" s="3" t="str">
        <f>"by Jamilah Thompkins-Bigelow ; Illustrated by Luisa Uribe"</f>
        <v>by Jamilah Thompkins-Bigelow ; Illustrated by Luisa Uribe</v>
      </c>
      <c r="G816" s="3" t="str">
        <f>"The Innovation Press"</f>
        <v>The Innovation Press</v>
      </c>
      <c r="H816" s="2" t="str">
        <f>"2020"</f>
        <v>2020</v>
      </c>
      <c r="I816" s="3" t="str">
        <f>""</f>
        <v/>
      </c>
    </row>
    <row r="817" spans="1:9" x14ac:dyDescent="0.3">
      <c r="A817" s="2">
        <v>816</v>
      </c>
      <c r="B817" s="4" t="s">
        <v>23</v>
      </c>
      <c r="C817" s="3" t="str">
        <f>"TFC000003770"</f>
        <v>TFC000003770</v>
      </c>
      <c r="D817" s="3" t="str">
        <f>"F800-21-0174-(AR 2.2)"</f>
        <v>F800-21-0174-(AR 2.2)</v>
      </c>
      <c r="E817" s="3" t="str">
        <f>"Alma and how she got her name"</f>
        <v>Alma and how she got her name</v>
      </c>
      <c r="F817" s="3" t="str">
        <f>"by Juana Martinez-Neal"</f>
        <v>by Juana Martinez-Neal</v>
      </c>
      <c r="G817" s="3" t="str">
        <f>"Candlewick"</f>
        <v>Candlewick</v>
      </c>
      <c r="H817" s="2" t="str">
        <f>"2018"</f>
        <v>2018</v>
      </c>
      <c r="I817" s="3" t="str">
        <f>""</f>
        <v/>
      </c>
    </row>
    <row r="818" spans="1:9" x14ac:dyDescent="0.3">
      <c r="A818" s="2">
        <v>817</v>
      </c>
      <c r="B818" s="4" t="s">
        <v>23</v>
      </c>
      <c r="C818" s="3" t="str">
        <f>"TFC000003808"</f>
        <v>TFC000003808</v>
      </c>
      <c r="D818" s="3" t="str">
        <f>"F800-21-0989-(AR 2.2)"</f>
        <v>F800-21-0989-(AR 2.2)</v>
      </c>
      <c r="E818" s="3" t="str">
        <f>"All the fun winter things"</f>
        <v>All the fun winter things</v>
      </c>
      <c r="F818" s="3" t="str">
        <f>"by Erica S. Perl, illustrated by Chris Chatterton"</f>
        <v>by Erica S. Perl, illustrated by Chris Chatterton</v>
      </c>
      <c r="G818" s="3" t="str">
        <f>"Penguin workshop"</f>
        <v>Penguin workshop</v>
      </c>
      <c r="H818" s="2" t="str">
        <f>"2019"</f>
        <v>2019</v>
      </c>
      <c r="I818" s="3" t="str">
        <f>""</f>
        <v/>
      </c>
    </row>
    <row r="819" spans="1:9" x14ac:dyDescent="0.3">
      <c r="A819" s="2">
        <v>818</v>
      </c>
      <c r="B819" s="4" t="s">
        <v>23</v>
      </c>
      <c r="C819" s="3" t="str">
        <f>"TFC000003853"</f>
        <v>TFC000003853</v>
      </c>
      <c r="D819" s="3" t="str">
        <f>"F800-21-0176-(AR 2.2)"</f>
        <v>F800-21-0176-(AR 2.2)</v>
      </c>
      <c r="E819" s="3" t="str">
        <f>"Grumpy monkey"</f>
        <v>Grumpy monkey</v>
      </c>
      <c r="F819" s="3" t="str">
        <f>"by Suzanne Lang, illustrated by Max Lang"</f>
        <v>by Suzanne Lang, illustrated by Max Lang</v>
      </c>
      <c r="G819" s="3" t="str">
        <f>"Random House"</f>
        <v>Random House</v>
      </c>
      <c r="H819" s="2" t="str">
        <f>"2018"</f>
        <v>2018</v>
      </c>
      <c r="I819" s="3" t="str">
        <f>""</f>
        <v/>
      </c>
    </row>
    <row r="820" spans="1:9" x14ac:dyDescent="0.3">
      <c r="A820" s="2">
        <v>819</v>
      </c>
      <c r="B820" s="4" t="s">
        <v>23</v>
      </c>
      <c r="C820" s="3" t="str">
        <f>"TFC000003960"</f>
        <v>TFC000003960</v>
      </c>
      <c r="D820" s="3" t="str">
        <f>"F800-21-0178-(AR 2.2)"</f>
        <v>F800-21-0178-(AR 2.2)</v>
      </c>
      <c r="E820" s="3" t="str">
        <f>"Trillions of trees : a counting and planting book"</f>
        <v>Trillions of trees : a counting and planting book</v>
      </c>
      <c r="F820" s="3" t="str">
        <f>"Kurt Cyrus"</f>
        <v>Kurt Cyrus</v>
      </c>
      <c r="G820" s="3" t="str">
        <f>"Henry Holt and Company"</f>
        <v>Henry Holt and Company</v>
      </c>
      <c r="H820" s="2" t="str">
        <f>"2021"</f>
        <v>2021</v>
      </c>
      <c r="I820" s="3" t="str">
        <f>""</f>
        <v/>
      </c>
    </row>
    <row r="821" spans="1:9" x14ac:dyDescent="0.3">
      <c r="A821" s="2">
        <v>820</v>
      </c>
      <c r="B821" s="4" t="s">
        <v>23</v>
      </c>
      <c r="C821" s="3" t="str">
        <f>"TFC000003961"</f>
        <v>TFC000003961</v>
      </c>
      <c r="D821" s="3" t="str">
        <f>"F400-21-0157-(AR 2.2)"</f>
        <v>F400-21-0157-(AR 2.2)</v>
      </c>
      <c r="E821" s="3" t="str">
        <f>"Fun facts about bears"</f>
        <v>Fun facts about bears</v>
      </c>
      <c r="F821" s="3" t="str">
        <f>"by Julie Murray"</f>
        <v>by Julie Murray</v>
      </c>
      <c r="G821" s="3" t="str">
        <f>"Abdo Zoom"</f>
        <v>Abdo Zoom</v>
      </c>
      <c r="H821" s="2" t="str">
        <f>"2022"</f>
        <v>2022</v>
      </c>
      <c r="I821" s="3" t="str">
        <f>""</f>
        <v/>
      </c>
    </row>
    <row r="822" spans="1:9" x14ac:dyDescent="0.3">
      <c r="A822" s="2">
        <v>821</v>
      </c>
      <c r="B822" s="4" t="s">
        <v>23</v>
      </c>
      <c r="C822" s="3" t="str">
        <f>"TFC000004036"</f>
        <v>TFC000004036</v>
      </c>
      <c r="D822" s="3" t="str">
        <f>"F800-21-0179-(AR 2.2)"</f>
        <v>F800-21-0179-(AR 2.2)</v>
      </c>
      <c r="E822" s="3" t="str">
        <f>"Pete the cat : Rocking field day"</f>
        <v>Pete the cat : Rocking field day</v>
      </c>
      <c r="F822" s="3" t="str">
        <f>"by Kim Dean, James Dean"</f>
        <v>by Kim Dean, James Dean</v>
      </c>
      <c r="G822" s="3" t="str">
        <f>"Harper"</f>
        <v>Harper</v>
      </c>
      <c r="H822" s="2" t="str">
        <f>"2021"</f>
        <v>2021</v>
      </c>
      <c r="I822" s="3" t="str">
        <f>""</f>
        <v/>
      </c>
    </row>
    <row r="823" spans="1:9" x14ac:dyDescent="0.3">
      <c r="A823" s="2">
        <v>822</v>
      </c>
      <c r="B823" s="4" t="s">
        <v>23</v>
      </c>
      <c r="C823" s="3" t="str">
        <f>"TFC000004139"</f>
        <v>TFC000004139</v>
      </c>
      <c r="D823" s="3" t="str">
        <f>"F800-21-0180-(AR 2.2)"</f>
        <v>F800-21-0180-(AR 2.2)</v>
      </c>
      <c r="E823" s="3" t="str">
        <f>"How do dinosaurs go to sleep?"</f>
        <v>How do dinosaurs go to sleep?</v>
      </c>
      <c r="F823" s="3" t="str">
        <f>"by Jane Yolen, illustrated by Mark Teague"</f>
        <v>by Jane Yolen, illustrated by Mark Teague</v>
      </c>
      <c r="G823" s="3" t="str">
        <f>"The Blue Sky Press"</f>
        <v>The Blue Sky Press</v>
      </c>
      <c r="H823" s="2" t="str">
        <f>"2016"</f>
        <v>2016</v>
      </c>
      <c r="I823" s="3" t="str">
        <f>""</f>
        <v/>
      </c>
    </row>
    <row r="824" spans="1:9" x14ac:dyDescent="0.3">
      <c r="A824" s="2">
        <v>823</v>
      </c>
      <c r="B824" s="4" t="s">
        <v>23</v>
      </c>
      <c r="C824" s="3" t="str">
        <f>"TFC000004401"</f>
        <v>TFC000004401</v>
      </c>
      <c r="D824" s="3" t="str">
        <f>"F500-22-0210-(AR 2.2)"</f>
        <v>F500-22-0210-(AR 2.2)</v>
      </c>
      <c r="E824" s="3" t="str">
        <f>"Sunflowers"</f>
        <v>Sunflowers</v>
      </c>
      <c r="F824" s="3" t="str">
        <f>"by Gail Saunders-Smith"</f>
        <v>by Gail Saunders-Smith</v>
      </c>
      <c r="G824" s="3" t="str">
        <f>"Capstone Press"</f>
        <v>Capstone Press</v>
      </c>
      <c r="H824" s="2" t="str">
        <f>"1997"</f>
        <v>1997</v>
      </c>
      <c r="I824" s="3" t="str">
        <f>""</f>
        <v/>
      </c>
    </row>
    <row r="825" spans="1:9" x14ac:dyDescent="0.3">
      <c r="A825" s="2">
        <v>824</v>
      </c>
      <c r="B825" s="4" t="s">
        <v>23</v>
      </c>
      <c r="C825" s="3" t="str">
        <f>"TFC000004432"</f>
        <v>TFC000004432</v>
      </c>
      <c r="D825" s="3" t="str">
        <f>"F800-22-0241-(AR 2.2)"</f>
        <v>F800-22-0241-(AR 2.2)</v>
      </c>
      <c r="E825" s="3" t="str">
        <f>"Danny and the Dinosaur Ride a Bike"</f>
        <v>Danny and the Dinosaur Ride a Bike</v>
      </c>
      <c r="F825" s="3" t="str">
        <f>"by Syd Hoff"</f>
        <v>by Syd Hoff</v>
      </c>
      <c r="G825" s="3" t="str">
        <f>"HarperCollins"</f>
        <v>HarperCollins</v>
      </c>
      <c r="H825" s="2" t="str">
        <f>"2020"</f>
        <v>2020</v>
      </c>
      <c r="I825" s="3" t="str">
        <f>""</f>
        <v/>
      </c>
    </row>
    <row r="826" spans="1:9" x14ac:dyDescent="0.3">
      <c r="A826" s="2">
        <v>825</v>
      </c>
      <c r="B826" s="4" t="s">
        <v>23</v>
      </c>
      <c r="C826" s="3" t="str">
        <f>"TFC000004433"</f>
        <v>TFC000004433</v>
      </c>
      <c r="D826" s="3" t="str">
        <f>"F800-22-0242-(AR2.2)"</f>
        <v>F800-22-0242-(AR2.2)</v>
      </c>
      <c r="E826" s="3" t="str">
        <f>"Hungry Jim"</f>
        <v>Hungry Jim</v>
      </c>
      <c r="F826" s="3" t="str">
        <f>"by Laurel Snyder, illustrated by Chuck Groenink"</f>
        <v>by Laurel Snyder, illustrated by Chuck Groenink</v>
      </c>
      <c r="G826" s="3" t="str">
        <f>"Chronicle Books"</f>
        <v>Chronicle Books</v>
      </c>
      <c r="H826" s="2" t="str">
        <f>"2019"</f>
        <v>2019</v>
      </c>
      <c r="I826" s="3" t="str">
        <f>""</f>
        <v/>
      </c>
    </row>
    <row r="827" spans="1:9" x14ac:dyDescent="0.3">
      <c r="A827" s="2">
        <v>826</v>
      </c>
      <c r="B827" s="4" t="s">
        <v>23</v>
      </c>
      <c r="C827" s="3" t="str">
        <f>"TFC000004663"</f>
        <v>TFC000004663</v>
      </c>
      <c r="D827" s="3" t="str">
        <f>"F800-22-0472-(AR2.2)"</f>
        <v>F800-22-0472-(AR2.2)</v>
      </c>
      <c r="E827" s="3" t="str">
        <f>"Max Explains Everything : Soccer Expert"</f>
        <v>Max Explains Everything : Soccer Expert</v>
      </c>
      <c r="F827" s="3" t="str">
        <f>"by Stacy McAnulty, illustrated by Deborah Hocking"</f>
        <v>by Stacy McAnulty, illustrated by Deborah Hocking</v>
      </c>
      <c r="G827" s="3" t="str">
        <f>"Puffin"</f>
        <v>Puffin</v>
      </c>
      <c r="H827" s="2" t="str">
        <f>"2019"</f>
        <v>2019</v>
      </c>
      <c r="I827" s="3" t="str">
        <f>""</f>
        <v/>
      </c>
    </row>
    <row r="828" spans="1:9" x14ac:dyDescent="0.3">
      <c r="A828" s="2">
        <v>827</v>
      </c>
      <c r="B828" s="4" t="s">
        <v>23</v>
      </c>
      <c r="C828" s="3" t="str">
        <f>"TFC000004431"</f>
        <v>TFC000004431</v>
      </c>
      <c r="D828" s="3" t="str">
        <f>"F800-22-0240-(AR2.2)"</f>
        <v>F800-22-0240-(AR2.2)</v>
      </c>
      <c r="E828" s="3" t="str">
        <f>"Amelia Bedelia : steps out"</f>
        <v>Amelia Bedelia : steps out</v>
      </c>
      <c r="F828" s="3" t="str">
        <f>"by Herman Parish, illustrated by Lynne Avril"</f>
        <v>by Herman Parish, illustrated by Lynne Avril</v>
      </c>
      <c r="G828" s="3" t="str">
        <f>"Greenwillow Books"</f>
        <v>Greenwillow Books</v>
      </c>
      <c r="H828" s="2" t="str">
        <f>"2021"</f>
        <v>2021</v>
      </c>
      <c r="I828" s="3" t="str">
        <f>""</f>
        <v/>
      </c>
    </row>
    <row r="829" spans="1:9" x14ac:dyDescent="0.3">
      <c r="A829" s="2">
        <v>828</v>
      </c>
      <c r="B829" s="4" t="s">
        <v>23</v>
      </c>
      <c r="C829" s="3" t="str">
        <f>"TFC000004434"</f>
        <v>TFC000004434</v>
      </c>
      <c r="D829" s="3" t="str">
        <f>"F800-22-0243-(AR2.2)"</f>
        <v>F800-22-0243-(AR2.2)</v>
      </c>
      <c r="E829" s="3" t="str">
        <f>"Arlo &amp; Pips : Join the crow crowd!"</f>
        <v>Arlo &amp; Pips : Join the crow crowd!</v>
      </c>
      <c r="F829" s="3" t="str">
        <f>"by Elise Gravel"</f>
        <v>by Elise Gravel</v>
      </c>
      <c r="G829" s="3" t="str">
        <f>"Harperalley"</f>
        <v>Harperalley</v>
      </c>
      <c r="H829" s="2" t="str">
        <f>"2021"</f>
        <v>2021</v>
      </c>
      <c r="I829" s="3" t="str">
        <f>""</f>
        <v/>
      </c>
    </row>
    <row r="830" spans="1:9" x14ac:dyDescent="0.3">
      <c r="A830" s="2">
        <v>829</v>
      </c>
      <c r="B830" s="4" t="s">
        <v>23</v>
      </c>
      <c r="C830" s="3" t="str">
        <f>"TFC000004661"</f>
        <v>TFC000004661</v>
      </c>
      <c r="D830" s="3" t="str">
        <f>"F800-22-0470-(AR2.2)"</f>
        <v>F800-22-0470-(AR2.2)</v>
      </c>
      <c r="E830" s="3" t="str">
        <f>"Five little monkeys looking for Santa"</f>
        <v>Five little monkeys looking for Santa</v>
      </c>
      <c r="F830" s="3" t="str">
        <f>"by Eileen Christelow"</f>
        <v>by Eileen Christelow</v>
      </c>
      <c r="G830" s="3" t="str">
        <f>"Clarion Books"</f>
        <v>Clarion Books</v>
      </c>
      <c r="H830" s="2" t="str">
        <f>"2021"</f>
        <v>2021</v>
      </c>
      <c r="I830" s="3" t="str">
        <f>""</f>
        <v/>
      </c>
    </row>
    <row r="831" spans="1:9" x14ac:dyDescent="0.3">
      <c r="A831" s="2">
        <v>830</v>
      </c>
      <c r="B831" s="4" t="s">
        <v>23</v>
      </c>
      <c r="C831" s="3" t="str">
        <f>"TFC000004662"</f>
        <v>TFC000004662</v>
      </c>
      <c r="D831" s="3" t="str">
        <f>"F800-22-0471-(AR2.2)"</f>
        <v>F800-22-0471-(AR2.2)</v>
      </c>
      <c r="E831" s="3" t="str">
        <f>"(The)Good Egg and the Talent Show"</f>
        <v>(The)Good Egg and the Talent Show</v>
      </c>
      <c r="F831" s="3" t="str">
        <f>"by Jory John, illustrated by Pete Oswald"</f>
        <v>by Jory John, illustrated by Pete Oswald</v>
      </c>
      <c r="G831" s="3" t="str">
        <f>"HarperCollins"</f>
        <v>HarperCollins</v>
      </c>
      <c r="H831" s="2" t="str">
        <f>"2022"</f>
        <v>2022</v>
      </c>
      <c r="I831" s="3" t="str">
        <f>""</f>
        <v/>
      </c>
    </row>
    <row r="832" spans="1:9" x14ac:dyDescent="0.3">
      <c r="A832" s="2">
        <v>831</v>
      </c>
      <c r="B832" s="4" t="s">
        <v>23</v>
      </c>
      <c r="C832" s="3" t="str">
        <f>"TFC000004664"</f>
        <v>TFC000004664</v>
      </c>
      <c r="D832" s="3" t="str">
        <f>"F800-22-0473-(AR2.2)"</f>
        <v>F800-22-0473-(AR2.2)</v>
      </c>
      <c r="E832" s="3" t="str">
        <f>"Snow day"</f>
        <v>Snow day</v>
      </c>
      <c r="F832" s="3" t="str">
        <f>"by Aron Nels Steinke"</f>
        <v>by Aron Nels Steinke</v>
      </c>
      <c r="G832" s="3" t="str">
        <f>"Scholastic / Graphix"</f>
        <v>Scholastic / Graphix</v>
      </c>
      <c r="H832" s="2" t="str">
        <f>"2022"</f>
        <v>2022</v>
      </c>
      <c r="I832" s="3" t="str">
        <f>""</f>
        <v/>
      </c>
    </row>
    <row r="833" spans="1:9" x14ac:dyDescent="0.3">
      <c r="A833" s="2">
        <v>832</v>
      </c>
      <c r="B833" s="4" t="s">
        <v>23</v>
      </c>
      <c r="C833" s="3" t="str">
        <f>"TFC000004665"</f>
        <v>TFC000004665</v>
      </c>
      <c r="D833" s="3" t="str">
        <f>"F800-22-0474-(AR2.2)"</f>
        <v>F800-22-0474-(AR2.2)</v>
      </c>
      <c r="E833" s="3" t="str">
        <f>"Xo, exoplanet [AR : LG 2.2]"</f>
        <v>Xo, exoplanet [AR : LG 2.2]</v>
      </c>
      <c r="F833" s="3" t="str">
        <f>"by Deborah Underwood, illustrated by Jorge Lacera"</f>
        <v>by Deborah Underwood, illustrated by Jorge Lacera</v>
      </c>
      <c r="G833" s="3" t="str">
        <f>"Little, Brown and Company"</f>
        <v>Little, Brown and Company</v>
      </c>
      <c r="H833" s="2" t="str">
        <f>"2021"</f>
        <v>2021</v>
      </c>
      <c r="I833" s="3" t="str">
        <f>""</f>
        <v/>
      </c>
    </row>
    <row r="834" spans="1:9" x14ac:dyDescent="0.3">
      <c r="A834" s="2">
        <v>833</v>
      </c>
      <c r="B834" s="4" t="s">
        <v>23</v>
      </c>
      <c r="C834" s="3" t="str">
        <f>"TFC000004902"</f>
        <v>TFC000004902</v>
      </c>
      <c r="D834" s="3" t="str">
        <f>"F800-23-0006-(AR2.2)"</f>
        <v>F800-23-0006-(AR2.2)</v>
      </c>
      <c r="E834" s="3" t="str">
        <f>"Graveyard Shakes"</f>
        <v>Graveyard Shakes</v>
      </c>
      <c r="F834" s="3" t="str">
        <f>"by Laura Terry"</f>
        <v>by Laura Terry</v>
      </c>
      <c r="G834" s="3" t="str">
        <f>"Graphix:Scholastic"</f>
        <v>Graphix:Scholastic</v>
      </c>
      <c r="H834" s="2" t="str">
        <f>"2017"</f>
        <v>2017</v>
      </c>
      <c r="I834" s="3" t="str">
        <f>""</f>
        <v/>
      </c>
    </row>
    <row r="835" spans="1:9" x14ac:dyDescent="0.3">
      <c r="A835" s="2">
        <v>834</v>
      </c>
      <c r="B835" s="4">
        <v>2.2000000000000002</v>
      </c>
      <c r="C835" s="3" t="str">
        <f>"TFC000003911"</f>
        <v>TFC000003911</v>
      </c>
      <c r="D835" s="3" t="str">
        <f>"F800-21-0177-13(AR 2.2)"</f>
        <v>F800-21-0177-13(AR 2.2)</v>
      </c>
      <c r="E835" s="3" t="str">
        <f>"Babymouse. 13, Cupcake tycoon"</f>
        <v>Babymouse. 13, Cupcake tycoon</v>
      </c>
      <c r="F835" s="3" t="str">
        <f>"by Jennifer L. Holm, Matthew Holm"</f>
        <v>by Jennifer L. Holm, Matthew Holm</v>
      </c>
      <c r="G835" s="3" t="str">
        <f>"Random House"</f>
        <v>Random House</v>
      </c>
      <c r="H835" s="2" t="str">
        <f>"2010"</f>
        <v>2010</v>
      </c>
      <c r="I835" s="3" t="str">
        <f>""</f>
        <v/>
      </c>
    </row>
    <row r="836" spans="1:9" x14ac:dyDescent="0.3">
      <c r="A836" s="2">
        <v>835</v>
      </c>
      <c r="B836" s="4">
        <v>2.2000000000000002</v>
      </c>
      <c r="C836" s="3" t="str">
        <f>"TFC000000565"</f>
        <v>TFC000000565</v>
      </c>
      <c r="D836" s="3" t="str">
        <f>"F800-20-0614-2(AR 2.2)"</f>
        <v>F800-20-0614-2(AR 2.2)</v>
      </c>
      <c r="E836" s="3" t="str">
        <f>"Bink &amp; Gollie. [2], Best friends forever"</f>
        <v>Bink &amp; Gollie. [2], Best friends forever</v>
      </c>
      <c r="F836" s="3" t="str">
        <f>"Kate DiCamillo, Alison McGhee ; illustrated by Tony Fucile"</f>
        <v>Kate DiCamillo, Alison McGhee ; illustrated by Tony Fucile</v>
      </c>
      <c r="G836" s="3" t="str">
        <f>"Candlewick Press"</f>
        <v>Candlewick Press</v>
      </c>
      <c r="H836" s="2" t="str">
        <f>"2014"</f>
        <v>2014</v>
      </c>
      <c r="I836" s="3" t="str">
        <f>""</f>
        <v/>
      </c>
    </row>
    <row r="837" spans="1:9" x14ac:dyDescent="0.3">
      <c r="A837" s="2">
        <v>836</v>
      </c>
      <c r="B837" s="4">
        <v>2.2000000000000002</v>
      </c>
      <c r="C837" s="3" t="str">
        <f>"TFC000000566"</f>
        <v>TFC000000566</v>
      </c>
      <c r="D837" s="3" t="str">
        <f>"F800-20-0615-3(AR 2.2)"</f>
        <v>F800-20-0615-3(AR 2.2)</v>
      </c>
      <c r="E837" s="3" t="str">
        <f>"Bink &amp; Gollie. [3], two for one"</f>
        <v>Bink &amp; Gollie. [3], two for one</v>
      </c>
      <c r="F837" s="3" t="str">
        <f>"Kate DiCamillo, Alison McGhee ; illustrated by Tony Fucile"</f>
        <v>Kate DiCamillo, Alison McGhee ; illustrated by Tony Fucile</v>
      </c>
      <c r="G837" s="3" t="str">
        <f>"Candlewick Press"</f>
        <v>Candlewick Press</v>
      </c>
      <c r="H837" s="2" t="str">
        <f>"2013"</f>
        <v>2013</v>
      </c>
      <c r="I837" s="3" t="str">
        <f>""</f>
        <v/>
      </c>
    </row>
    <row r="838" spans="1:9" x14ac:dyDescent="0.3">
      <c r="A838" s="2">
        <v>837</v>
      </c>
      <c r="B838" s="4" t="s">
        <v>24</v>
      </c>
      <c r="C838" s="3" t="str">
        <f>"TFC000000638"</f>
        <v>TFC000000638</v>
      </c>
      <c r="D838" s="3" t="str">
        <f>"F800-20-0692-(AR 2.3)"</f>
        <v>F800-20-0692-(AR 2.3)</v>
      </c>
      <c r="E838" s="3" t="str">
        <f>"Cowboy baby"</f>
        <v>Cowboy baby</v>
      </c>
      <c r="F838" s="3" t="str">
        <f>"by Sue Heap"</f>
        <v>by Sue Heap</v>
      </c>
      <c r="G838" s="3" t="str">
        <f>"Walker Books"</f>
        <v>Walker Books</v>
      </c>
      <c r="H838" s="2" t="str">
        <f>"2014"</f>
        <v>2014</v>
      </c>
      <c r="I838" s="2" t="s">
        <v>2</v>
      </c>
    </row>
    <row r="839" spans="1:9" x14ac:dyDescent="0.3">
      <c r="A839" s="2">
        <v>838</v>
      </c>
      <c r="B839" s="4" t="s">
        <v>24</v>
      </c>
      <c r="C839" s="3" t="str">
        <f>"TFC000003601"</f>
        <v>TFC000003601</v>
      </c>
      <c r="D839" s="3" t="str">
        <f>"F800-21-0191-(AR 2.3)"</f>
        <v>F800-21-0191-(AR 2.3)</v>
      </c>
      <c r="E839" s="3" t="str">
        <f>"School for Sausage"</f>
        <v>School for Sausage</v>
      </c>
      <c r="F839" s="3" t="str">
        <f>"by Michaela Morgan ; illustrated by Dee Shulman"</f>
        <v>by Michaela Morgan ; illustrated by Dee Shulman</v>
      </c>
      <c r="G839" s="3" t="str">
        <f>"A&amp;C Black:키즈북세종"</f>
        <v>A&amp;C Black:키즈북세종</v>
      </c>
      <c r="H839" s="2" t="str">
        <f>"2001"</f>
        <v>2001</v>
      </c>
      <c r="I839" s="2" t="s">
        <v>2</v>
      </c>
    </row>
    <row r="840" spans="1:9" x14ac:dyDescent="0.3">
      <c r="A840" s="2">
        <v>839</v>
      </c>
      <c r="B840" s="4" t="s">
        <v>24</v>
      </c>
      <c r="C840" s="3" t="str">
        <f>"TFC000000624"</f>
        <v>TFC000000624</v>
      </c>
      <c r="D840" s="3" t="str">
        <f>"F800-20-0678-(AR 2.3)"</f>
        <v>F800-20-0678-(AR 2.3)</v>
      </c>
      <c r="E840" s="3" t="str">
        <f>"Click, clack, moo cows that type"</f>
        <v>Click, clack, moo cows that type</v>
      </c>
      <c r="F840" s="3" t="str">
        <f>"by Doreen Cronin ; pictures by Betsy Lewin"</f>
        <v>by Doreen Cronin ; pictures by Betsy Lewin</v>
      </c>
      <c r="G840" s="3" t="str">
        <f>"Little Simon"</f>
        <v>Little Simon</v>
      </c>
      <c r="H840" s="2" t="str">
        <f>"2011"</f>
        <v>2011</v>
      </c>
      <c r="I840" s="2" t="s">
        <v>2</v>
      </c>
    </row>
    <row r="841" spans="1:9" x14ac:dyDescent="0.3">
      <c r="A841" s="2">
        <v>840</v>
      </c>
      <c r="B841" s="4" t="s">
        <v>24</v>
      </c>
      <c r="C841" s="3" t="str">
        <f>"TFC000000583"</f>
        <v>TFC000000583</v>
      </c>
      <c r="D841" s="3" t="str">
        <f>"F600-20-0637-(AR 2.3)"</f>
        <v>F600-20-0637-(AR 2.3)</v>
      </c>
      <c r="E841" s="3" t="str">
        <f>"Creepy crawly calypso"</f>
        <v>Creepy crawly calypso</v>
      </c>
      <c r="F841" s="3" t="str">
        <f>"written by Tony Langham ; illustrated by Debbie Harter ; sung by Richard Love"</f>
        <v>written by Tony Langham ; illustrated by Debbie Harter ; sung by Richard Love</v>
      </c>
      <c r="G841" s="3" t="str">
        <f>"Barefoot Books"</f>
        <v>Barefoot Books</v>
      </c>
      <c r="H841" s="2" t="str">
        <f>"2012"</f>
        <v>2012</v>
      </c>
      <c r="I841" s="2" t="s">
        <v>2</v>
      </c>
    </row>
    <row r="842" spans="1:9" x14ac:dyDescent="0.3">
      <c r="A842" s="2">
        <v>841</v>
      </c>
      <c r="B842" s="4" t="s">
        <v>24</v>
      </c>
      <c r="C842" s="3" t="str">
        <f>"TFC000003600"</f>
        <v>TFC000003600</v>
      </c>
      <c r="D842" s="3" t="str">
        <f>"F800-21-0190-(AR 2.3)"</f>
        <v>F800-21-0190-(AR 2.3)</v>
      </c>
      <c r="E842" s="3" t="str">
        <f>"Sausage and the little visitor"</f>
        <v>Sausage and the little visitor</v>
      </c>
      <c r="F842" s="3" t="str">
        <f>"by Michaela Morgan ; illustrated by Dee Shulman"</f>
        <v>by Michaela Morgan ; illustrated by Dee Shulman</v>
      </c>
      <c r="G842" s="3" t="str">
        <f>"A&amp;C Black:키즈북세종"</f>
        <v>A&amp;C Black:키즈북세종</v>
      </c>
      <c r="H842" s="2" t="str">
        <f>"2001"</f>
        <v>2001</v>
      </c>
      <c r="I842" s="2" t="s">
        <v>2</v>
      </c>
    </row>
    <row r="843" spans="1:9" x14ac:dyDescent="0.3">
      <c r="A843" s="2">
        <v>842</v>
      </c>
      <c r="B843" s="4" t="s">
        <v>24</v>
      </c>
      <c r="C843" s="3" t="str">
        <f>"TFC000003951"</f>
        <v>TFC000003951</v>
      </c>
      <c r="D843" s="3" t="str">
        <f>"F800-21-0208-(AR 2.3)"</f>
        <v>F800-21-0208-(AR 2.3)</v>
      </c>
      <c r="E843" s="3" t="str">
        <f>"(A)color of his own"</f>
        <v>(A)color of his own</v>
      </c>
      <c r="F843" s="3" t="str">
        <f>"by Leo Lionni"</f>
        <v>by Leo Lionni</v>
      </c>
      <c r="G843" s="3" t="str">
        <f>"JYBooks"</f>
        <v>JYBooks</v>
      </c>
      <c r="H843" s="2" t="str">
        <f>"2020"</f>
        <v>2020</v>
      </c>
      <c r="I843" s="2" t="s">
        <v>2</v>
      </c>
    </row>
    <row r="844" spans="1:9" x14ac:dyDescent="0.3">
      <c r="A844" s="2">
        <v>843</v>
      </c>
      <c r="B844" s="4" t="s">
        <v>24</v>
      </c>
      <c r="C844" s="3" t="str">
        <f>"TFC000003932"</f>
        <v>TFC000003932</v>
      </c>
      <c r="D844" s="3" t="str">
        <f>"F800-21-0206-(AR 2.3)"</f>
        <v>F800-21-0206-(AR 2.3)</v>
      </c>
      <c r="E844" s="3" t="str">
        <f>"This quiet lady"</f>
        <v>This quiet lady</v>
      </c>
      <c r="F844" s="3" t="str">
        <f>"by Charlotte Zolotow, pictures by Anita Lobel"</f>
        <v>by Charlotte Zolotow, pictures by Anita Lobel</v>
      </c>
      <c r="G844" s="3" t="str">
        <f>"HarperCollins World"</f>
        <v>HarperCollins World</v>
      </c>
      <c r="H844" s="2" t="str">
        <f>"[2016]"</f>
        <v>[2016]</v>
      </c>
      <c r="I844" s="2" t="s">
        <v>2</v>
      </c>
    </row>
    <row r="845" spans="1:9" x14ac:dyDescent="0.3">
      <c r="A845" s="2">
        <v>844</v>
      </c>
      <c r="B845" s="4" t="s">
        <v>24</v>
      </c>
      <c r="C845" s="3" t="str">
        <f>"TFC000003809"</f>
        <v>TFC000003809</v>
      </c>
      <c r="D845" s="3" t="str">
        <f>"F800-21-0197-(AR 2.3)"</f>
        <v>F800-21-0197-(AR 2.3)</v>
      </c>
      <c r="E845" s="3" t="str">
        <f>"I'm the Happiest"</f>
        <v>I'm the Happiest</v>
      </c>
      <c r="F845" s="3" t="str">
        <f>"by Anna Shuttlewood"</f>
        <v>by Anna Shuttlewood</v>
      </c>
      <c r="G845" s="3" t="str">
        <f>"QED"</f>
        <v>QED</v>
      </c>
      <c r="H845" s="2" t="str">
        <f>"2013"</f>
        <v>2013</v>
      </c>
      <c r="I845" s="2" t="s">
        <v>2</v>
      </c>
    </row>
    <row r="846" spans="1:9" x14ac:dyDescent="0.3">
      <c r="A846" s="2">
        <v>845</v>
      </c>
      <c r="B846" s="4" t="s">
        <v>24</v>
      </c>
      <c r="C846" s="3" t="str">
        <f>"TFC000000579"</f>
        <v>TFC000000579</v>
      </c>
      <c r="D846" s="3" t="str">
        <f>"F300-20-0633-(AR 2.3)"</f>
        <v>F300-20-0633-(AR 2.3)</v>
      </c>
      <c r="E846" s="3" t="str">
        <f>"Each orange had 8 slices : a counting book"</f>
        <v>Each orange had 8 slices : a counting book</v>
      </c>
      <c r="F846" s="3" t="str">
        <f>"by Paul Giganti,  Jr. ; pictures by Donald Crews"</f>
        <v>by Paul Giganti,  Jr. ; pictures by Donald Crews</v>
      </c>
      <c r="G846" s="3" t="str">
        <f>"Greenwillow Books"</f>
        <v>Greenwillow Books</v>
      </c>
      <c r="H846" s="2" t="str">
        <f>"1992"</f>
        <v>1992</v>
      </c>
      <c r="I846" s="3" t="str">
        <f>""</f>
        <v/>
      </c>
    </row>
    <row r="847" spans="1:9" x14ac:dyDescent="0.3">
      <c r="A847" s="2">
        <v>846</v>
      </c>
      <c r="B847" s="4" t="s">
        <v>24</v>
      </c>
      <c r="C847" s="3" t="str">
        <f>"TFC000000580"</f>
        <v>TFC000000580</v>
      </c>
      <c r="D847" s="3" t="str">
        <f>"F400-20-0634-(AR 2.3)"</f>
        <v>F400-20-0634-(AR 2.3)</v>
      </c>
      <c r="E847" s="3" t="str">
        <f>"Barnyard banter"</f>
        <v>Barnyard banter</v>
      </c>
      <c r="F847" s="3" t="str">
        <f>"by Denise Fleming"</f>
        <v>by Denise Fleming</v>
      </c>
      <c r="G847" s="3" t="str">
        <f>"Henry Holt and Company"</f>
        <v>Henry Holt and Company</v>
      </c>
      <c r="H847" s="2" t="str">
        <f>"2001"</f>
        <v>2001</v>
      </c>
      <c r="I847" s="3" t="str">
        <f>""</f>
        <v/>
      </c>
    </row>
    <row r="848" spans="1:9" x14ac:dyDescent="0.3">
      <c r="A848" s="2">
        <v>847</v>
      </c>
      <c r="B848" s="4" t="s">
        <v>24</v>
      </c>
      <c r="C848" s="3" t="str">
        <f>"TFC000000581"</f>
        <v>TFC000000581</v>
      </c>
      <c r="D848" s="3" t="str">
        <f>"F400-20-0635-(AR 2.3)"</f>
        <v>F400-20-0635-(AR 2.3)</v>
      </c>
      <c r="E848" s="3" t="str">
        <f>"(An)earthworm's life"</f>
        <v>(An)earthworm's life</v>
      </c>
      <c r="F848" s="3" t="str">
        <f>"written and illustrated by John Himmelman"</f>
        <v>written and illustrated by John Himmelman</v>
      </c>
      <c r="G848" s="3" t="str">
        <f>"Children's Press"</f>
        <v>Children's Press</v>
      </c>
      <c r="H848" s="2" t="str">
        <f>"2000"</f>
        <v>2000</v>
      </c>
      <c r="I848" s="3" t="str">
        <f>""</f>
        <v/>
      </c>
    </row>
    <row r="849" spans="1:9" x14ac:dyDescent="0.3">
      <c r="A849" s="2">
        <v>848</v>
      </c>
      <c r="B849" s="4" t="s">
        <v>24</v>
      </c>
      <c r="C849" s="3" t="str">
        <f>"TFC000000582"</f>
        <v>TFC000000582</v>
      </c>
      <c r="D849" s="3" t="str">
        <f>"F400-20-0636-(AR 2.3)"</f>
        <v>F400-20-0636-(AR 2.3)</v>
      </c>
      <c r="E849" s="3" t="str">
        <f>"It's a good thing there are insects"</f>
        <v>It's a good thing there are insects</v>
      </c>
      <c r="F849" s="3" t="str">
        <f>"by Allan Fowler ; images supplied by VALAN Photos and Jeffrey L. Rotman ; consultants: Robert L. Hillerich,  Mary Nalbandian"</f>
        <v>by Allan Fowler ; images supplied by VALAN Photos and Jeffrey L. Rotman ; consultants: Robert L. Hillerich,  Mary Nalbandian</v>
      </c>
      <c r="G849" s="3" t="str">
        <f>"Scholastic"</f>
        <v>Scholastic</v>
      </c>
      <c r="H849" s="2" t="str">
        <f>"2001"</f>
        <v>2001</v>
      </c>
      <c r="I849" s="3" t="str">
        <f>""</f>
        <v/>
      </c>
    </row>
    <row r="850" spans="1:9" x14ac:dyDescent="0.3">
      <c r="A850" s="2">
        <v>849</v>
      </c>
      <c r="B850" s="4" t="s">
        <v>24</v>
      </c>
      <c r="C850" s="3" t="str">
        <f>"TFC000000584"</f>
        <v>TFC000000584</v>
      </c>
      <c r="D850" s="3" t="str">
        <f>"F600-20-0638-(AR 2.3)"</f>
        <v>F600-20-0638-(AR 2.3)</v>
      </c>
      <c r="E850" s="3" t="str">
        <f>"Let's talk swimming"</f>
        <v>Let's talk swimming</v>
      </c>
      <c r="F850" s="3" t="str">
        <f>"by Amanda Miller"</f>
        <v>by Amanda Miller</v>
      </c>
      <c r="G850" s="3" t="str">
        <f>"Children's Press"</f>
        <v>Children's Press</v>
      </c>
      <c r="H850" s="2" t="str">
        <f>"2009"</f>
        <v>2009</v>
      </c>
      <c r="I850" s="3" t="str">
        <f>""</f>
        <v/>
      </c>
    </row>
    <row r="851" spans="1:9" x14ac:dyDescent="0.3">
      <c r="A851" s="2">
        <v>850</v>
      </c>
      <c r="B851" s="4" t="s">
        <v>24</v>
      </c>
      <c r="C851" s="3" t="str">
        <f>"TFC000000585"</f>
        <v>TFC000000585</v>
      </c>
      <c r="D851" s="3" t="str">
        <f>"F600-20-0639-(AR 2.3)"</f>
        <v>F600-20-0639-(AR 2.3)</v>
      </c>
      <c r="E851" s="3" t="str">
        <f>"Let's talk tae kwon do"</f>
        <v>Let's talk tae kwon do</v>
      </c>
      <c r="F851" s="3" t="str">
        <f>"by Laine Falk"</f>
        <v>by Laine Falk</v>
      </c>
      <c r="G851" s="3" t="str">
        <f>"Children's Press"</f>
        <v>Children's Press</v>
      </c>
      <c r="H851" s="2" t="str">
        <f>"2009"</f>
        <v>2009</v>
      </c>
      <c r="I851" s="3" t="str">
        <f>""</f>
        <v/>
      </c>
    </row>
    <row r="852" spans="1:9" x14ac:dyDescent="0.3">
      <c r="A852" s="2">
        <v>851</v>
      </c>
      <c r="B852" s="4" t="s">
        <v>24</v>
      </c>
      <c r="C852" s="3" t="str">
        <f>"TFC000000587"</f>
        <v>TFC000000587</v>
      </c>
      <c r="D852" s="3" t="str">
        <f>"F800-20-0641-(AR 2.3)"</f>
        <v>F800-20-0641-(AR 2.3)</v>
      </c>
      <c r="E852" s="3" t="str">
        <f>"(The)case of the hungry stranger"</f>
        <v>(The)case of the hungry stranger</v>
      </c>
      <c r="F852" s="3" t="str">
        <f>"story and pictures by Crosby Bonsall"</f>
        <v>story and pictures by Crosby Bonsall</v>
      </c>
      <c r="G852" s="3" t="str">
        <f>"HarperTrophy:Moonjin Media"</f>
        <v>HarperTrophy:Moonjin Media</v>
      </c>
      <c r="H852" s="2" t="str">
        <f>"1992"</f>
        <v>1992</v>
      </c>
      <c r="I852" s="3" t="str">
        <f>""</f>
        <v/>
      </c>
    </row>
    <row r="853" spans="1:9" x14ac:dyDescent="0.3">
      <c r="A853" s="2">
        <v>852</v>
      </c>
      <c r="B853" s="4" t="s">
        <v>24</v>
      </c>
      <c r="C853" s="3" t="str">
        <f>"TFC000000592"</f>
        <v>TFC000000592</v>
      </c>
      <c r="D853" s="3" t="str">
        <f>"F800-20-0646-(AR 2.3)"</f>
        <v>F800-20-0646-(AR 2.3)</v>
      </c>
      <c r="E853" s="3" t="str">
        <f>"(The)best teacher in the world"</f>
        <v>(The)best teacher in the world</v>
      </c>
      <c r="F853" s="3" t="str">
        <f>"by Bernice Chardiet, Grace Maccarone ; illustrated by G. Brian Karas"</f>
        <v>by Bernice Chardiet, Grace Maccarone ; illustrated by G. Brian Karas</v>
      </c>
      <c r="G853" s="3" t="str">
        <f>"Scholastic"</f>
        <v>Scholastic</v>
      </c>
      <c r="H853" s="2" t="str">
        <f>"2008"</f>
        <v>2008</v>
      </c>
      <c r="I853" s="3" t="str">
        <f>""</f>
        <v/>
      </c>
    </row>
    <row r="854" spans="1:9" x14ac:dyDescent="0.3">
      <c r="A854" s="2">
        <v>853</v>
      </c>
      <c r="B854" s="4" t="s">
        <v>24</v>
      </c>
      <c r="C854" s="3" t="str">
        <f>"TFC000000593"</f>
        <v>TFC000000593</v>
      </c>
      <c r="D854" s="3" t="str">
        <f>"F800-20-0647-(AR 2.3)"</f>
        <v>F800-20-0647-(AR 2.3)</v>
      </c>
      <c r="E854" s="3" t="str">
        <f>"(The)case of the cat's meow"</f>
        <v>(The)case of the cat's meow</v>
      </c>
      <c r="F854" s="3" t="str">
        <f>"by Crosby Bonsall"</f>
        <v>by Crosby Bonsall</v>
      </c>
      <c r="G854" s="3" t="str">
        <f>"HarperCollins Publihers"</f>
        <v>HarperCollins Publihers</v>
      </c>
      <c r="H854" s="2" t="str">
        <f>"1965"</f>
        <v>1965</v>
      </c>
      <c r="I854" s="3" t="str">
        <f>""</f>
        <v/>
      </c>
    </row>
    <row r="855" spans="1:9" x14ac:dyDescent="0.3">
      <c r="A855" s="2">
        <v>854</v>
      </c>
      <c r="B855" s="4" t="s">
        <v>24</v>
      </c>
      <c r="C855" s="3" t="str">
        <f>"TFC000000594"</f>
        <v>TFC000000594</v>
      </c>
      <c r="D855" s="3" t="str">
        <f>"F800-20-0648-(AR 2.3)"</f>
        <v>F800-20-0648-(AR 2.3)</v>
      </c>
      <c r="E855" s="3" t="str">
        <f>"Angus lost"</f>
        <v>Angus lost</v>
      </c>
      <c r="F855" s="3" t="str">
        <f>"told and pictured by Marjorie Flack"</f>
        <v>told and pictured by Marjorie Flack</v>
      </c>
      <c r="G855" s="3" t="str">
        <f>"Farrar, Straus and Giroux"</f>
        <v>Farrar, Straus and Giroux</v>
      </c>
      <c r="H855" s="2" t="str">
        <f>"1997"</f>
        <v>1997</v>
      </c>
      <c r="I855" s="3" t="str">
        <f>""</f>
        <v/>
      </c>
    </row>
    <row r="856" spans="1:9" x14ac:dyDescent="0.3">
      <c r="A856" s="2">
        <v>855</v>
      </c>
      <c r="B856" s="4" t="s">
        <v>24</v>
      </c>
      <c r="C856" s="3" t="str">
        <f>"TFC000000595"</f>
        <v>TFC000000595</v>
      </c>
      <c r="D856" s="3" t="str">
        <f>"F800-20-0649-(AR 2.3)"</f>
        <v>F800-20-0649-(AR 2.3)</v>
      </c>
      <c r="E856" s="3" t="str">
        <f>"Ask Mr. Bear"</f>
        <v>Ask Mr. Bear</v>
      </c>
      <c r="F856" s="3" t="str">
        <f>"story and pictures by Marjorie Flack"</f>
        <v>story and pictures by Marjorie Flack</v>
      </c>
      <c r="G856" s="3" t="str">
        <f>"Aladdin Paperbacks"</f>
        <v>Aladdin Paperbacks</v>
      </c>
      <c r="H856" s="2" t="str">
        <f>"1971"</f>
        <v>1971</v>
      </c>
      <c r="I856" s="3" t="str">
        <f>""</f>
        <v/>
      </c>
    </row>
    <row r="857" spans="1:9" x14ac:dyDescent="0.3">
      <c r="A857" s="2">
        <v>856</v>
      </c>
      <c r="B857" s="4" t="s">
        <v>24</v>
      </c>
      <c r="C857" s="3" t="str">
        <f>"TFC000000597"</f>
        <v>TFC000000597</v>
      </c>
      <c r="D857" s="3" t="str">
        <f>"F800-20-0651-(AR 2.3)"</f>
        <v>F800-20-0651-(AR 2.3)</v>
      </c>
      <c r="E857" s="3" t="str">
        <f>"Joe and Betsy the dinosaur"</f>
        <v>Joe and Betsy the dinosaur</v>
      </c>
      <c r="F857" s="3" t="str">
        <f>"story and pictures by Lillian Hoban"</f>
        <v>story and pictures by Lillian Hoban</v>
      </c>
      <c r="G857" s="3" t="str">
        <f>"HarperCollins Publishers"</f>
        <v>HarperCollins Publishers</v>
      </c>
      <c r="H857" s="2" t="str">
        <f>"1995"</f>
        <v>1995</v>
      </c>
      <c r="I857" s="3" t="str">
        <f>""</f>
        <v/>
      </c>
    </row>
    <row r="858" spans="1:9" x14ac:dyDescent="0.3">
      <c r="A858" s="2">
        <v>857</v>
      </c>
      <c r="B858" s="4" t="s">
        <v>24</v>
      </c>
      <c r="C858" s="3" t="str">
        <f>"TFC000000598"</f>
        <v>TFC000000598</v>
      </c>
      <c r="D858" s="3" t="str">
        <f>"F800-20-0652-(AR 2.3)"</f>
        <v>F800-20-0652-(AR 2.3)</v>
      </c>
      <c r="E858" s="3" t="str">
        <f>"Danny and the dinosaur"</f>
        <v>Danny and the dinosaur</v>
      </c>
      <c r="F858" s="3" t="str">
        <f>"story and pictures by Syd Hoff"</f>
        <v>story and pictures by Syd Hoff</v>
      </c>
      <c r="G858" s="3" t="str">
        <f>"HarperCollins Publishers"</f>
        <v>HarperCollins Publishers</v>
      </c>
      <c r="H858" s="2" t="str">
        <f>"1993"</f>
        <v>1993</v>
      </c>
      <c r="I858" s="3" t="str">
        <f>""</f>
        <v/>
      </c>
    </row>
    <row r="859" spans="1:9" x14ac:dyDescent="0.3">
      <c r="A859" s="2">
        <v>858</v>
      </c>
      <c r="B859" s="4" t="s">
        <v>24</v>
      </c>
      <c r="C859" s="3" t="str">
        <f>"TFC000000599"</f>
        <v>TFC000000599</v>
      </c>
      <c r="D859" s="3" t="str">
        <f>"F800-20-0653-(AR 2.3)"</f>
        <v>F800-20-0653-(AR 2.3)</v>
      </c>
      <c r="E859" s="3" t="str">
        <f>"(The)horse in Harry's room"</f>
        <v>(The)horse in Harry's room</v>
      </c>
      <c r="F859" s="3" t="str">
        <f>"story and pictures by Syd Hoff"</f>
        <v>story and pictures by Syd Hoff</v>
      </c>
      <c r="G859" s="3" t="str">
        <f>"HarperTrophy:Moonjin Media"</f>
        <v>HarperTrophy:Moonjin Media</v>
      </c>
      <c r="H859" s="2" t="str">
        <f>"2002"</f>
        <v>2002</v>
      </c>
      <c r="I859" s="3" t="str">
        <f>""</f>
        <v/>
      </c>
    </row>
    <row r="860" spans="1:9" x14ac:dyDescent="0.3">
      <c r="A860" s="2">
        <v>859</v>
      </c>
      <c r="B860" s="4" t="s">
        <v>24</v>
      </c>
      <c r="C860" s="3" t="str">
        <f>"TFC000000600"</f>
        <v>TFC000000600</v>
      </c>
      <c r="D860" s="3" t="str">
        <f>"F800-20-0654-(AR 2.3)"</f>
        <v>F800-20-0654-(AR 2.3)</v>
      </c>
      <c r="E860" s="3" t="str">
        <f>"Mrs. Brice's mice"</f>
        <v>Mrs. Brice's mice</v>
      </c>
      <c r="F860" s="3" t="str">
        <f>"story and pictures by Syd Hoff"</f>
        <v>story and pictures by Syd Hoff</v>
      </c>
      <c r="G860" s="3" t="str">
        <f>"HarperTrophy:Moonjin Media"</f>
        <v>HarperTrophy:Moonjin Media</v>
      </c>
      <c r="H860" s="2" t="str">
        <f>"1988"</f>
        <v>1988</v>
      </c>
      <c r="I860" s="3" t="str">
        <f>""</f>
        <v/>
      </c>
    </row>
    <row r="861" spans="1:9" x14ac:dyDescent="0.3">
      <c r="A861" s="2">
        <v>860</v>
      </c>
      <c r="B861" s="4" t="s">
        <v>24</v>
      </c>
      <c r="C861" s="3" t="str">
        <f>"TFC000000601"</f>
        <v>TFC000000601</v>
      </c>
      <c r="D861" s="3" t="str">
        <f>"F800-20-0655-(AR 2.3)"</f>
        <v>F800-20-0655-(AR 2.3)</v>
      </c>
      <c r="E861" s="3" t="str">
        <f>"Stanley"</f>
        <v>Stanley</v>
      </c>
      <c r="F861" s="3" t="str">
        <f>"story and pictures by Syd Hoff"</f>
        <v>story and pictures by Syd Hoff</v>
      </c>
      <c r="G861" s="3" t="str">
        <f>"HarperTrophy"</f>
        <v>HarperTrophy</v>
      </c>
      <c r="H861" s="2" t="str">
        <f>"1992"</f>
        <v>1992</v>
      </c>
      <c r="I861" s="3" t="str">
        <f>""</f>
        <v/>
      </c>
    </row>
    <row r="862" spans="1:9" x14ac:dyDescent="0.3">
      <c r="A862" s="2">
        <v>861</v>
      </c>
      <c r="B862" s="4" t="s">
        <v>24</v>
      </c>
      <c r="C862" s="3" t="str">
        <f>"TFC000000602"</f>
        <v>TFC000000602</v>
      </c>
      <c r="D862" s="3" t="str">
        <f>"F800-20-0656-(AR 2.3)"</f>
        <v>F800-20-0656-(AR 2.3)</v>
      </c>
      <c r="E862" s="3" t="str">
        <f>"Johnny lion's book"</f>
        <v>Johnny lion's book</v>
      </c>
      <c r="F862" s="3" t="str">
        <f>"by Edith Thacher Hurd ; pictures by Clement Hurd"</f>
        <v>by Edith Thacher Hurd ; pictures by Clement Hurd</v>
      </c>
      <c r="G862" s="3" t="str">
        <f>"HarperTrophy:Moonjin Media"</f>
        <v>HarperTrophy:Moonjin Media</v>
      </c>
      <c r="H862" s="2" t="str">
        <f>"2001"</f>
        <v>2001</v>
      </c>
      <c r="I862" s="3" t="str">
        <f>""</f>
        <v/>
      </c>
    </row>
    <row r="863" spans="1:9" x14ac:dyDescent="0.3">
      <c r="A863" s="2">
        <v>862</v>
      </c>
      <c r="B863" s="4" t="s">
        <v>24</v>
      </c>
      <c r="C863" s="3" t="str">
        <f>"TFC000000603"</f>
        <v>TFC000000603</v>
      </c>
      <c r="D863" s="3" t="str">
        <f>"F800-20-0657-(AR 2.3)"</f>
        <v>F800-20-0657-(AR 2.3)</v>
      </c>
      <c r="E863" s="3" t="str">
        <f>"You'll soon grow into them, Titch"</f>
        <v>You'll soon grow into them, Titch</v>
      </c>
      <c r="F863" s="3" t="str">
        <f>"by Pat Hutchins"</f>
        <v>by Pat Hutchins</v>
      </c>
      <c r="G863" s="3" t="str">
        <f>"Greenwillow Book"</f>
        <v>Greenwillow Book</v>
      </c>
      <c r="H863" s="2" t="str">
        <f>"1983"</f>
        <v>1983</v>
      </c>
      <c r="I863" s="3" t="str">
        <f>""</f>
        <v/>
      </c>
    </row>
    <row r="864" spans="1:9" x14ac:dyDescent="0.3">
      <c r="A864" s="2">
        <v>863</v>
      </c>
      <c r="B864" s="4" t="s">
        <v>24</v>
      </c>
      <c r="C864" s="3" t="str">
        <f>"TFC000000604"</f>
        <v>TFC000000604</v>
      </c>
      <c r="D864" s="3" t="str">
        <f>"F800-20-0658-(AR 2.3)"</f>
        <v>F800-20-0658-(AR 2.3)</v>
      </c>
      <c r="E864" s="3" t="str">
        <f>"Mama, do you love me?"</f>
        <v>Mama, do you love me?</v>
      </c>
      <c r="F864" s="3" t="str">
        <f>"by Barbara M. Joosse ;  illustrated by Barbara Lavallee"</f>
        <v>by Barbara M. Joosse ;  illustrated by Barbara Lavallee</v>
      </c>
      <c r="G864" s="3" t="str">
        <f>"Chronicle Books"</f>
        <v>Chronicle Books</v>
      </c>
      <c r="H864" s="2" t="str">
        <f>"2014"</f>
        <v>2014</v>
      </c>
      <c r="I864" s="3" t="str">
        <f>""</f>
        <v/>
      </c>
    </row>
    <row r="865" spans="1:9" x14ac:dyDescent="0.3">
      <c r="A865" s="2">
        <v>864</v>
      </c>
      <c r="B865" s="4" t="s">
        <v>24</v>
      </c>
      <c r="C865" s="3" t="str">
        <f>"TFC000000605"</f>
        <v>TFC000000605</v>
      </c>
      <c r="D865" s="3" t="str">
        <f>"F800-20-0659-(AR 2.3)"</f>
        <v>F800-20-0659-(AR 2.3)</v>
      </c>
      <c r="E865" s="3" t="str">
        <f>"Little chick's friend duckling"</f>
        <v>Little chick's friend duckling</v>
      </c>
      <c r="F865" s="3" t="str">
        <f>"Mary DeBall Kwitz ; pictures by Bruce Degen"</f>
        <v>Mary DeBall Kwitz ; pictures by Bruce Degen</v>
      </c>
      <c r="G865" s="3" t="str">
        <f>"HarperTrophy:Moonjin Media"</f>
        <v>HarperTrophy:Moonjin Media</v>
      </c>
      <c r="H865" s="2" t="str">
        <f>"1992"</f>
        <v>1992</v>
      </c>
      <c r="I865" s="3" t="str">
        <f>""</f>
        <v/>
      </c>
    </row>
    <row r="866" spans="1:9" x14ac:dyDescent="0.3">
      <c r="A866" s="2">
        <v>865</v>
      </c>
      <c r="B866" s="4" t="s">
        <v>24</v>
      </c>
      <c r="C866" s="3" t="str">
        <f>"TFC000000607"</f>
        <v>TFC000000607</v>
      </c>
      <c r="D866" s="3" t="str">
        <f>"F800-20-0661-(AR 2.3)"</f>
        <v>F800-20-0661-(AR 2.3)</v>
      </c>
      <c r="E866" s="3" t="str">
        <f>"Small pig"</f>
        <v>Small pig</v>
      </c>
      <c r="F866" s="3" t="str">
        <f>"story and pictures by Arnold Lobel"</f>
        <v>story and pictures by Arnold Lobel</v>
      </c>
      <c r="G866" s="3" t="str">
        <f>"HarperTrophy"</f>
        <v>HarperTrophy</v>
      </c>
      <c r="H866" s="2" t="str">
        <f>"1988"</f>
        <v>1988</v>
      </c>
      <c r="I866" s="3" t="str">
        <f>""</f>
        <v/>
      </c>
    </row>
    <row r="867" spans="1:9" x14ac:dyDescent="0.3">
      <c r="A867" s="2">
        <v>866</v>
      </c>
      <c r="B867" s="4" t="s">
        <v>24</v>
      </c>
      <c r="C867" s="3" t="str">
        <f>"TFC000000608"</f>
        <v>TFC000000608</v>
      </c>
      <c r="D867" s="3" t="str">
        <f>"F800-20-0662-(AR 2.3)"</f>
        <v>F800-20-0662-(AR 2.3)</v>
      </c>
      <c r="E867" s="3" t="str">
        <f>"Football friends"</f>
        <v>Football friends</v>
      </c>
      <c r="F867" s="3" t="str">
        <f>"by Jean Marzollo, Dan Marzollo, Dave Marzollo ; illustrated by True Kelley"</f>
        <v>by Jean Marzollo, Dan Marzollo, Dave Marzollo ; illustrated by True Kelley</v>
      </c>
      <c r="G867" s="3" t="str">
        <f>"Scholastic"</f>
        <v>Scholastic</v>
      </c>
      <c r="H867" s="2" t="str">
        <f>"1997"</f>
        <v>1997</v>
      </c>
      <c r="I867" s="3" t="str">
        <f>""</f>
        <v/>
      </c>
    </row>
    <row r="868" spans="1:9" x14ac:dyDescent="0.3">
      <c r="A868" s="2">
        <v>867</v>
      </c>
      <c r="B868" s="4" t="s">
        <v>24</v>
      </c>
      <c r="C868" s="3" t="str">
        <f>"TFC000000609"</f>
        <v>TFC000000609</v>
      </c>
      <c r="D868" s="3" t="str">
        <f>"F800-20-0663-(AR 2.3)"</f>
        <v>F800-20-0663-(AR 2.3)</v>
      </c>
      <c r="E868" s="3" t="str">
        <f>"Once upon a springtime"</f>
        <v>Once upon a springtime</v>
      </c>
      <c r="F868" s="3" t="str">
        <f>"by Jean Marzollo ; illustrated by Jacqueline Rogres"</f>
        <v>by Jean Marzollo ; illustrated by Jacqueline Rogres</v>
      </c>
      <c r="G868" s="3" t="str">
        <f>"Scholastic"</f>
        <v>Scholastic</v>
      </c>
      <c r="H868" s="2" t="str">
        <f>"1997"</f>
        <v>1997</v>
      </c>
      <c r="I868" s="3" t="str">
        <f>""</f>
        <v/>
      </c>
    </row>
    <row r="869" spans="1:9" x14ac:dyDescent="0.3">
      <c r="A869" s="2">
        <v>868</v>
      </c>
      <c r="B869" s="4" t="s">
        <v>24</v>
      </c>
      <c r="C869" s="3" t="str">
        <f>"TFC000000610"</f>
        <v>TFC000000610</v>
      </c>
      <c r="D869" s="3" t="str">
        <f>"F800-20-0664-(AR 2.3)"</f>
        <v>F800-20-0664-(AR 2.3)</v>
      </c>
      <c r="E869" s="3" t="str">
        <f>"Zomo the rabbit : a trickster tale from west africa"</f>
        <v>Zomo the rabbit : a trickster tale from west africa</v>
      </c>
      <c r="F869" s="3" t="str">
        <f>"told and illusrated by Gerald McDermott"</f>
        <v>told and illusrated by Gerald McDermott</v>
      </c>
      <c r="G869" s="3" t="str">
        <f>"Voyager Books"</f>
        <v>Voyager Books</v>
      </c>
      <c r="H869" s="2" t="str">
        <f>"1992"</f>
        <v>1992</v>
      </c>
      <c r="I869" s="3" t="str">
        <f>""</f>
        <v/>
      </c>
    </row>
    <row r="870" spans="1:9" x14ac:dyDescent="0.3">
      <c r="A870" s="2">
        <v>869</v>
      </c>
      <c r="B870" s="4" t="s">
        <v>24</v>
      </c>
      <c r="C870" s="3" t="str">
        <f>"TFC000000611"</f>
        <v>TFC000000611</v>
      </c>
      <c r="D870" s="3" t="str">
        <f>"F800-20-0665-(AR 2.3)"</f>
        <v>F800-20-0665-(AR 2.3)</v>
      </c>
      <c r="E870" s="3" t="str">
        <f>"Little bear's visit"</f>
        <v>Little bear's visit</v>
      </c>
      <c r="F870" s="3" t="str">
        <f>"by Else Holmelund Minarik ; pictures by Maurice Sendak"</f>
        <v>by Else Holmelund Minarik ; pictures by Maurice Sendak</v>
      </c>
      <c r="G870" s="3" t="str">
        <f>"Harper"</f>
        <v>Harper</v>
      </c>
      <c r="H870" s="2" t="str">
        <f>"1989"</f>
        <v>1989</v>
      </c>
      <c r="I870" s="3" t="str">
        <f>""</f>
        <v/>
      </c>
    </row>
    <row r="871" spans="1:9" x14ac:dyDescent="0.3">
      <c r="A871" s="2">
        <v>870</v>
      </c>
      <c r="B871" s="4" t="s">
        <v>24</v>
      </c>
      <c r="C871" s="3" t="str">
        <f>"TFC000000612"</f>
        <v>TFC000000612</v>
      </c>
      <c r="D871" s="3" t="str">
        <f>"F800-20-0666-(AR 2.3)"</f>
        <v>F800-20-0666-(AR 2.3)</v>
      </c>
      <c r="E871" s="3" t="str">
        <f>"Dolphin"</f>
        <v>Dolphin</v>
      </c>
      <c r="F871" s="3" t="str">
        <f>"by Robert A. Morris ; pictures by Manoru Funai"</f>
        <v>by Robert A. Morris ; pictures by Manoru Funai</v>
      </c>
      <c r="G871" s="3" t="str">
        <f>"HarperTrophy"</f>
        <v>HarperTrophy</v>
      </c>
      <c r="H871" s="2" t="str">
        <f>"1983"</f>
        <v>1983</v>
      </c>
      <c r="I871" s="3" t="str">
        <f>""</f>
        <v/>
      </c>
    </row>
    <row r="872" spans="1:9" x14ac:dyDescent="0.3">
      <c r="A872" s="2">
        <v>871</v>
      </c>
      <c r="B872" s="4" t="s">
        <v>24</v>
      </c>
      <c r="C872" s="3" t="str">
        <f>"TFC000000613"</f>
        <v>TFC000000613</v>
      </c>
      <c r="D872" s="3" t="str">
        <f>"F800-20-0667-(AR 2.3)"</f>
        <v>F800-20-0667-(AR 2.3)</v>
      </c>
      <c r="E872" s="3" t="str">
        <f>"Zack's alligator"</f>
        <v>Zack's alligator</v>
      </c>
      <c r="F872" s="3" t="str">
        <f>"by Shirley Mozelle ; pictures by James Watts"</f>
        <v>by Shirley Mozelle ; pictures by James Watts</v>
      </c>
      <c r="G872" s="3" t="str">
        <f>"HarperCollins Publishers"</f>
        <v>HarperCollins Publishers</v>
      </c>
      <c r="H872" s="2" t="str">
        <f>"1989"</f>
        <v>1989</v>
      </c>
      <c r="I872" s="3" t="str">
        <f>""</f>
        <v/>
      </c>
    </row>
    <row r="873" spans="1:9" x14ac:dyDescent="0.3">
      <c r="A873" s="2">
        <v>872</v>
      </c>
      <c r="B873" s="4" t="s">
        <v>24</v>
      </c>
      <c r="C873" s="3" t="str">
        <f>"TFC000000614"</f>
        <v>TFC000000614</v>
      </c>
      <c r="D873" s="3" t="str">
        <f>"F800-20-0668-(AR 2.3)"</f>
        <v>F800-20-0668-(AR 2.3)</v>
      </c>
      <c r="E873" s="3" t="str">
        <f>"Zack's alligator goes to school"</f>
        <v>Zack's alligator goes to school</v>
      </c>
      <c r="F873" s="3" t="str">
        <f>"story by Shirley Mozelle ; pictures by James Watts"</f>
        <v>story by Shirley Mozelle ; pictures by James Watts</v>
      </c>
      <c r="G873" s="3" t="str">
        <f>"HarperTrophy"</f>
        <v>HarperTrophy</v>
      </c>
      <c r="H873" s="2" t="str">
        <f>"1994"</f>
        <v>1994</v>
      </c>
      <c r="I873" s="3" t="str">
        <f>""</f>
        <v/>
      </c>
    </row>
    <row r="874" spans="1:9" x14ac:dyDescent="0.3">
      <c r="A874" s="2">
        <v>873</v>
      </c>
      <c r="B874" s="4" t="s">
        <v>24</v>
      </c>
      <c r="C874" s="3" t="str">
        <f>"TFC000000615"</f>
        <v>TFC000000615</v>
      </c>
      <c r="D874" s="3" t="str">
        <f>"F800-20-0669-(AR 2.3)"</f>
        <v>F800-20-0669-(AR 2.3)</v>
      </c>
      <c r="E874" s="3" t="str">
        <f>"Mice at bat"</f>
        <v>Mice at bat</v>
      </c>
      <c r="F874" s="3" t="str">
        <f>"story and pictures by Kelly Oechsli"</f>
        <v>story and pictures by Kelly Oechsli</v>
      </c>
      <c r="G874" s="3" t="str">
        <f>"HarperTrophy:Moonjin Media"</f>
        <v>HarperTrophy:Moonjin Media</v>
      </c>
      <c r="H874" s="2" t="str">
        <f>"1986"</f>
        <v>1986</v>
      </c>
      <c r="I874" s="3" t="str">
        <f>""</f>
        <v/>
      </c>
    </row>
    <row r="875" spans="1:9" x14ac:dyDescent="0.3">
      <c r="A875" s="2">
        <v>874</v>
      </c>
      <c r="B875" s="4" t="s">
        <v>24</v>
      </c>
      <c r="C875" s="3" t="str">
        <f>"TFC000000616"</f>
        <v>TFC000000616</v>
      </c>
      <c r="D875" s="3" t="str">
        <f>"F800-20-0670-(AR 2.3)"</f>
        <v>F800-20-0670-(AR 2.3)</v>
      </c>
      <c r="E875" s="3" t="str">
        <f>"Amelia Bedelia and the surprise shower"</f>
        <v>Amelia Bedelia and the surprise shower</v>
      </c>
      <c r="F875" s="3" t="str">
        <f>"by Peggy Parish ; Pictures by Babara Siebel Thomas"</f>
        <v>by Peggy Parish ; Pictures by Babara Siebel Thomas</v>
      </c>
      <c r="G875" s="3" t="str">
        <f>"HarperCollins Publishers"</f>
        <v>HarperCollins Publishers</v>
      </c>
      <c r="H875" s="2" t="str">
        <f>"1995"</f>
        <v>1995</v>
      </c>
      <c r="I875" s="3" t="str">
        <f>""</f>
        <v/>
      </c>
    </row>
    <row r="876" spans="1:9" x14ac:dyDescent="0.3">
      <c r="A876" s="2">
        <v>875</v>
      </c>
      <c r="B876" s="4" t="s">
        <v>24</v>
      </c>
      <c r="C876" s="3" t="str">
        <f>"TFC000000617"</f>
        <v>TFC000000617</v>
      </c>
      <c r="D876" s="3" t="str">
        <f>"F800-20-0671-(AR 2.3)"</f>
        <v>F800-20-0671-(AR 2.3)</v>
      </c>
      <c r="E876" s="3" t="str">
        <f>"(The)statue of liberty"</f>
        <v>(The)statue of liberty</v>
      </c>
      <c r="F876" s="3" t="str">
        <f>"by Lucille Recht Penner ; illustrated by Jada Rowland"</f>
        <v>by Lucille Recht Penner ; illustrated by Jada Rowland</v>
      </c>
      <c r="G876" s="3" t="str">
        <f>"Random House"</f>
        <v>Random House</v>
      </c>
      <c r="H876" s="2" t="str">
        <f>"1995"</f>
        <v>1995</v>
      </c>
      <c r="I876" s="3" t="str">
        <f>""</f>
        <v/>
      </c>
    </row>
    <row r="877" spans="1:9" x14ac:dyDescent="0.3">
      <c r="A877" s="2">
        <v>876</v>
      </c>
      <c r="B877" s="4" t="s">
        <v>24</v>
      </c>
      <c r="C877" s="3" t="str">
        <f>"TFC000000618"</f>
        <v>TFC000000618</v>
      </c>
      <c r="D877" s="3" t="str">
        <f>"F800-20-0672-(AR 2.3)"</f>
        <v>F800-20-0672-(AR 2.3)</v>
      </c>
      <c r="E877" s="3" t="str">
        <f>"What a wonderful world"</f>
        <v>What a wonderful world</v>
      </c>
      <c r="F877" s="3" t="str">
        <f>"by George David Weiss, Bob Thiele ; illustrated by Ashley Bryan"</f>
        <v>by George David Weiss, Bob Thiele ; illustrated by Ashley Bryan</v>
      </c>
      <c r="G877" s="3" t="str">
        <f>"Atheneum Books for Young Readers"</f>
        <v>Atheneum Books for Young Readers</v>
      </c>
      <c r="H877" s="2" t="str">
        <f>"1995"</f>
        <v>1995</v>
      </c>
      <c r="I877" s="3" t="str">
        <f>""</f>
        <v/>
      </c>
    </row>
    <row r="878" spans="1:9" x14ac:dyDescent="0.3">
      <c r="A878" s="2">
        <v>877</v>
      </c>
      <c r="B878" s="4" t="s">
        <v>24</v>
      </c>
      <c r="C878" s="3" t="str">
        <f>"TFC000000619"</f>
        <v>TFC000000619</v>
      </c>
      <c r="D878" s="3" t="str">
        <f>"F800-20-0673-(AR 2.3)"</f>
        <v>F800-20-0673-(AR 2.3)</v>
      </c>
      <c r="E878" s="3" t="str">
        <f>"(The)cows are in the corn"</f>
        <v>(The)cows are in the corn</v>
      </c>
      <c r="F878" s="3" t="str">
        <f>"by James Young"</f>
        <v>by James Young</v>
      </c>
      <c r="G878" s="3" t="str">
        <f>"Scholastic"</f>
        <v>Scholastic</v>
      </c>
      <c r="H878" s="2" t="str">
        <f>"1995"</f>
        <v>1995</v>
      </c>
      <c r="I878" s="3" t="str">
        <f>""</f>
        <v/>
      </c>
    </row>
    <row r="879" spans="1:9" x14ac:dyDescent="0.3">
      <c r="A879" s="2">
        <v>878</v>
      </c>
      <c r="B879" s="4" t="s">
        <v>24</v>
      </c>
      <c r="C879" s="3" t="str">
        <f>"TFC000000620"</f>
        <v>TFC000000620</v>
      </c>
      <c r="D879" s="3" t="str">
        <f>"F800-20-0674-(AR 2.3)"</f>
        <v>F800-20-0674-(AR 2.3)</v>
      </c>
      <c r="E879" s="3" t="str">
        <f>"Popcorn"</f>
        <v>Popcorn</v>
      </c>
      <c r="F879" s="3" t="str">
        <f>"Frank Asch"</f>
        <v>Frank Asch</v>
      </c>
      <c r="G879" s="3" t="str">
        <f>"Aladdin"</f>
        <v>Aladdin</v>
      </c>
      <c r="H879" s="2" t="str">
        <f>"2015"</f>
        <v>2015</v>
      </c>
      <c r="I879" s="3" t="str">
        <f>""</f>
        <v/>
      </c>
    </row>
    <row r="880" spans="1:9" x14ac:dyDescent="0.3">
      <c r="A880" s="2">
        <v>879</v>
      </c>
      <c r="B880" s="4" t="s">
        <v>24</v>
      </c>
      <c r="C880" s="3" t="str">
        <f>"TFC000000621"</f>
        <v>TFC000000621</v>
      </c>
      <c r="D880" s="3" t="str">
        <f>"F800-20-0675-(AR 2.3)"</f>
        <v>F800-20-0675-(AR 2.3)</v>
      </c>
      <c r="E880" s="3" t="str">
        <f>"I want to be much more bigger like you"</f>
        <v>I want to be much more bigger like you</v>
      </c>
      <c r="F880" s="3" t="str">
        <f>"characters created by Lauren Child ; text based on script written by Dave Ingham ; illustrations from the TV animation produced by Tiger Aspect"</f>
        <v>characters created by Lauren Child ; text based on script written by Dave Ingham ; illustrations from the TV animation produced by Tiger Aspect</v>
      </c>
      <c r="G880" s="3" t="str">
        <f>"Grosset ＆ Dunlap"</f>
        <v>Grosset ＆ Dunlap</v>
      </c>
      <c r="H880" s="2" t="str">
        <f>"2008"</f>
        <v>2008</v>
      </c>
      <c r="I880" s="3" t="str">
        <f>""</f>
        <v/>
      </c>
    </row>
    <row r="881" spans="1:9" x14ac:dyDescent="0.3">
      <c r="A881" s="2">
        <v>880</v>
      </c>
      <c r="B881" s="4" t="s">
        <v>24</v>
      </c>
      <c r="C881" s="3" t="str">
        <f>"TFC000000622"</f>
        <v>TFC000000622</v>
      </c>
      <c r="D881" s="3" t="str">
        <f>"F800-20-0676-(AR 2.3)"</f>
        <v>F800-20-0676-(AR 2.3)</v>
      </c>
      <c r="E881" s="3" t="str">
        <f>"I would like to actually keep it"</f>
        <v>I would like to actually keep it</v>
      </c>
      <c r="F881" s="3" t="str">
        <f>"characters created by Lauren Child ; text based on script written by Dave Ingham ; illustrations from the TV animation produced by Tiger Aspect"</f>
        <v>characters created by Lauren Child ; text based on script written by Dave Ingham ; illustrations from the TV animation produced by Tiger Aspect</v>
      </c>
      <c r="G881" s="3" t="str">
        <f>"Grosset &amp; Dunlap"</f>
        <v>Grosset &amp; Dunlap</v>
      </c>
      <c r="H881" s="2" t="str">
        <f>"2011"</f>
        <v>2011</v>
      </c>
      <c r="I881" s="3" t="str">
        <f>""</f>
        <v/>
      </c>
    </row>
    <row r="882" spans="1:9" x14ac:dyDescent="0.3">
      <c r="A882" s="2">
        <v>881</v>
      </c>
      <c r="B882" s="4" t="s">
        <v>24</v>
      </c>
      <c r="C882" s="3" t="str">
        <f>"TFC000000623"</f>
        <v>TFC000000623</v>
      </c>
      <c r="D882" s="3" t="str">
        <f>"F800-20-0677-(AR 2.3)"</f>
        <v>F800-20-0677-(AR 2.3)</v>
      </c>
      <c r="E882" s="3" t="str">
        <f>"Maisy goes to the museum"</f>
        <v>Maisy goes to the museum</v>
      </c>
      <c r="F882" s="3" t="str">
        <f>"by Lucy Cousins"</f>
        <v>by Lucy Cousins</v>
      </c>
      <c r="G882" s="3" t="str">
        <f>"Candlewick Press"</f>
        <v>Candlewick Press</v>
      </c>
      <c r="H882" s="2" t="str">
        <f>"2009"</f>
        <v>2009</v>
      </c>
      <c r="I882" s="3" t="str">
        <f>""</f>
        <v/>
      </c>
    </row>
    <row r="883" spans="1:9" x14ac:dyDescent="0.3">
      <c r="A883" s="2">
        <v>882</v>
      </c>
      <c r="B883" s="4" t="s">
        <v>24</v>
      </c>
      <c r="C883" s="3" t="str">
        <f>"TFC000000625"</f>
        <v>TFC000000625</v>
      </c>
      <c r="D883" s="3" t="str">
        <f>"F800-20-0679-(AR 2.3)"</f>
        <v>F800-20-0679-(AR 2.3)</v>
      </c>
      <c r="E883" s="3" t="str">
        <f>"Giggle, giggle, quack"</f>
        <v>Giggle, giggle, quack</v>
      </c>
      <c r="F883" s="3" t="str">
        <f>"by Doreen Cronin ; pictures by Betsy Lewin"</f>
        <v>by Doreen Cronin ; pictures by Betsy Lewin</v>
      </c>
      <c r="G883" s="3" t="str">
        <f>"Little Simon"</f>
        <v>Little Simon</v>
      </c>
      <c r="H883" s="2" t="str">
        <f>"2010"</f>
        <v>2010</v>
      </c>
      <c r="I883" s="3" t="str">
        <f>""</f>
        <v/>
      </c>
    </row>
    <row r="884" spans="1:9" x14ac:dyDescent="0.3">
      <c r="A884" s="2">
        <v>883</v>
      </c>
      <c r="B884" s="4" t="s">
        <v>24</v>
      </c>
      <c r="C884" s="3" t="str">
        <f>"TFC000000626"</f>
        <v>TFC000000626</v>
      </c>
      <c r="D884" s="3" t="str">
        <f>"F800-20-0680-(AR 2.3)"</f>
        <v>F800-20-0680-(AR 2.3)</v>
      </c>
      <c r="E884" s="3" t="str">
        <f>"Pete the cat's family road trip"</f>
        <v>Pete the cat's family road trip</v>
      </c>
      <c r="F884" s="3" t="str">
        <f>"by Kimberly Dean, James Dean"</f>
        <v>by Kimberly Dean, James Dean</v>
      </c>
      <c r="G884" s="3" t="str">
        <f>"Harper"</f>
        <v>Harper</v>
      </c>
      <c r="H884" s="2" t="str">
        <f>"2020"</f>
        <v>2020</v>
      </c>
      <c r="I884" s="3" t="str">
        <f>""</f>
        <v/>
      </c>
    </row>
    <row r="885" spans="1:9" x14ac:dyDescent="0.3">
      <c r="A885" s="2">
        <v>884</v>
      </c>
      <c r="B885" s="4" t="s">
        <v>24</v>
      </c>
      <c r="C885" s="3" t="str">
        <f>"TFC000000627"</f>
        <v>TFC000000627</v>
      </c>
      <c r="D885" s="3" t="str">
        <f>"F800-20-0681-(AR 2.3)"</f>
        <v>F800-20-0681-(AR 2.3)</v>
      </c>
      <c r="E885" s="3" t="str">
        <f>"Gibert, the surfer dude"</f>
        <v>Gibert, the surfer dude</v>
      </c>
      <c r="F885" s="3" t="str">
        <f>"by Diane deGroat"</f>
        <v>by Diane deGroat</v>
      </c>
      <c r="G885" s="3" t="str">
        <f>"Harper"</f>
        <v>Harper</v>
      </c>
      <c r="H885" s="2" t="str">
        <f>"2009"</f>
        <v>2009</v>
      </c>
      <c r="I885" s="3" t="str">
        <f>""</f>
        <v/>
      </c>
    </row>
    <row r="886" spans="1:9" x14ac:dyDescent="0.3">
      <c r="A886" s="2">
        <v>885</v>
      </c>
      <c r="B886" s="4" t="s">
        <v>24</v>
      </c>
      <c r="C886" s="3" t="str">
        <f>"TFC000000628"</f>
        <v>TFC000000628</v>
      </c>
      <c r="D886" s="3" t="str">
        <f>"F800-20-0682-(AR 2.3)"</f>
        <v>F800-20-0682-(AR 2.3)</v>
      </c>
      <c r="E886" s="3" t="str">
        <f>"(The)gruffalo"</f>
        <v>(The)gruffalo</v>
      </c>
      <c r="F886" s="3" t="str">
        <f>"Julia Donaldson ; pictures by Axel Scheffler"</f>
        <v>Julia Donaldson ; pictures by Axel Scheffler</v>
      </c>
      <c r="G886" s="3" t="str">
        <f>"Puffin Books"</f>
        <v>Puffin Books</v>
      </c>
      <c r="H886" s="2" t="str">
        <f>"2006"</f>
        <v>2006</v>
      </c>
      <c r="I886" s="3" t="str">
        <f>""</f>
        <v/>
      </c>
    </row>
    <row r="887" spans="1:9" x14ac:dyDescent="0.3">
      <c r="A887" s="2">
        <v>886</v>
      </c>
      <c r="B887" s="4" t="s">
        <v>24</v>
      </c>
      <c r="C887" s="3" t="str">
        <f>"TFC000000629"</f>
        <v>TFC000000629</v>
      </c>
      <c r="D887" s="3" t="str">
        <f>"F800-20-0683-(AR 2.3)"</f>
        <v>F800-20-0683-(AR 2.3)</v>
      </c>
      <c r="E887" s="3" t="str">
        <f>"Chicken little"</f>
        <v>Chicken little</v>
      </c>
      <c r="F887" s="3" t="str">
        <f>"Rebecca Emberley, Ed Emberley"</f>
        <v>Rebecca Emberley, Ed Emberley</v>
      </c>
      <c r="G887" s="3" t="str">
        <f>"Roaring Brook Press"</f>
        <v>Roaring Brook Press</v>
      </c>
      <c r="H887" s="2" t="str">
        <f>"2009"</f>
        <v>2009</v>
      </c>
      <c r="I887" s="3" t="str">
        <f>""</f>
        <v/>
      </c>
    </row>
    <row r="888" spans="1:9" x14ac:dyDescent="0.3">
      <c r="A888" s="2">
        <v>887</v>
      </c>
      <c r="B888" s="4" t="s">
        <v>24</v>
      </c>
      <c r="C888" s="3" t="str">
        <f>"TFC000000633"</f>
        <v>TFC000000633</v>
      </c>
      <c r="D888" s="3" t="str">
        <f>"F800-20-0687-(AR 2.3)"</f>
        <v>F800-20-0687-(AR 2.3)</v>
      </c>
      <c r="E888" s="3" t="str">
        <f>"(The)Scarecrow"</f>
        <v>(The)Scarecrow</v>
      </c>
      <c r="F888" s="3" t="str">
        <f>"written by Beth Ferry ; illustrated by The Fan Brothers"</f>
        <v>written by Beth Ferry ; illustrated by The Fan Brothers</v>
      </c>
      <c r="G888" s="3" t="str">
        <f>"Harper"</f>
        <v>Harper</v>
      </c>
      <c r="H888" s="2" t="str">
        <f>"2019"</f>
        <v>2019</v>
      </c>
      <c r="I888" s="3" t="str">
        <f>""</f>
        <v/>
      </c>
    </row>
    <row r="889" spans="1:9" x14ac:dyDescent="0.3">
      <c r="A889" s="2">
        <v>888</v>
      </c>
      <c r="B889" s="4" t="s">
        <v>24</v>
      </c>
      <c r="C889" s="3" t="str">
        <f>"TFC000000634"</f>
        <v>TFC000000634</v>
      </c>
      <c r="D889" s="3" t="str">
        <f>"F800-20-0688-(AR 2.3)"</f>
        <v>F800-20-0688-(AR 2.3)</v>
      </c>
      <c r="E889" s="3" t="str">
        <f>"Gulliver in Lilliput"</f>
        <v>Gulliver in Lilliput</v>
      </c>
      <c r="F889" s="3" t="str">
        <f>"by Lisa Findlay ; illustrated by Antonio Javier Caparo"</f>
        <v>by Lisa Findlay ; illustrated by Antonio Javier Caparo</v>
      </c>
      <c r="G889" s="3" t="str">
        <f>"Random House"</f>
        <v>Random House</v>
      </c>
      <c r="H889" s="2" t="str">
        <f>"2010"</f>
        <v>2010</v>
      </c>
      <c r="I889" s="3" t="str">
        <f>""</f>
        <v/>
      </c>
    </row>
    <row r="890" spans="1:9" x14ac:dyDescent="0.3">
      <c r="A890" s="2">
        <v>889</v>
      </c>
      <c r="B890" s="4" t="s">
        <v>24</v>
      </c>
      <c r="C890" s="3" t="str">
        <f>"TFC000000635"</f>
        <v>TFC000000635</v>
      </c>
      <c r="D890" s="3" t="str">
        <f>"F800-20-0689-(AR 2.3)"</f>
        <v>F800-20-0689-(AR 2.3)</v>
      </c>
      <c r="E890" s="3" t="str">
        <f>"Hello goodbye dog"</f>
        <v>Hello goodbye dog</v>
      </c>
      <c r="F890" s="3" t="str">
        <f>"written by Maria Gianferrari ; illustrated by Patrice Barton"</f>
        <v>written by Maria Gianferrari ; illustrated by Patrice Barton</v>
      </c>
      <c r="G890" s="3" t="str">
        <f>"Roaring Brook Press"</f>
        <v>Roaring Brook Press</v>
      </c>
      <c r="H890" s="2" t="str">
        <f>"2017"</f>
        <v>2017</v>
      </c>
      <c r="I890" s="3" t="str">
        <f>""</f>
        <v/>
      </c>
    </row>
    <row r="891" spans="1:9" x14ac:dyDescent="0.3">
      <c r="A891" s="2">
        <v>890</v>
      </c>
      <c r="B891" s="4" t="s">
        <v>24</v>
      </c>
      <c r="C891" s="3" t="str">
        <f>"TFC000000636"</f>
        <v>TFC000000636</v>
      </c>
      <c r="D891" s="3" t="str">
        <f>"F800-20-0690-(AR 2.3)"</f>
        <v>F800-20-0690-(AR 2.3)</v>
      </c>
      <c r="E891" s="3" t="str">
        <f>"Dixie and the class treat"</f>
        <v>Dixie and the class treat</v>
      </c>
      <c r="F891" s="3" t="str">
        <f>"by Grace Gilman ; pictures by Jacqueline Rogers"</f>
        <v>by Grace Gilman ; pictures by Jacqueline Rogers</v>
      </c>
      <c r="G891" s="3" t="str">
        <f>"Harper"</f>
        <v>Harper</v>
      </c>
      <c r="H891" s="2" t="str">
        <f>"2012"</f>
        <v>2012</v>
      </c>
      <c r="I891" s="3" t="str">
        <f>""</f>
        <v/>
      </c>
    </row>
    <row r="892" spans="1:9" x14ac:dyDescent="0.3">
      <c r="A892" s="2">
        <v>891</v>
      </c>
      <c r="B892" s="4" t="s">
        <v>24</v>
      </c>
      <c r="C892" s="3" t="str">
        <f>"TFC000000639"</f>
        <v>TFC000000639</v>
      </c>
      <c r="D892" s="3" t="str">
        <f>"F800-20-0693-(AR 2.3)"</f>
        <v>F800-20-0693-(AR 2.3)</v>
      </c>
      <c r="E892" s="3" t="str">
        <f>"Woolbur"</f>
        <v>Woolbur</v>
      </c>
      <c r="F892" s="3" t="str">
        <f>"by Leslie Helakoski ; pictures by Lee Harper"</f>
        <v>by Leslie Helakoski ; pictures by Lee Harper</v>
      </c>
      <c r="G892" s="3" t="str">
        <f>"HarperCollins Publishers"</f>
        <v>HarperCollins Publishers</v>
      </c>
      <c r="H892" s="2" t="str">
        <f>"2008"</f>
        <v>2008</v>
      </c>
      <c r="I892" s="3" t="str">
        <f>""</f>
        <v/>
      </c>
    </row>
    <row r="893" spans="1:9" x14ac:dyDescent="0.3">
      <c r="A893" s="2">
        <v>892</v>
      </c>
      <c r="B893" s="4" t="s">
        <v>24</v>
      </c>
      <c r="C893" s="3" t="str">
        <f>"TFC000000640"</f>
        <v>TFC000000640</v>
      </c>
      <c r="D893" s="3" t="str">
        <f>"F800-20-0694-(AR 2.3)"</f>
        <v>F800-20-0694-(AR 2.3)</v>
      </c>
      <c r="E893" s="3" t="str">
        <f>"Kitten's first full moon"</f>
        <v>Kitten's first full moon</v>
      </c>
      <c r="F893" s="3" t="str">
        <f>"by Kevin Henkes"</f>
        <v>by Kevin Henkes</v>
      </c>
      <c r="G893" s="3" t="str">
        <f>"Greenwillow Books"</f>
        <v>Greenwillow Books</v>
      </c>
      <c r="H893" s="2" t="str">
        <f>"2004"</f>
        <v>2004</v>
      </c>
      <c r="I893" s="3" t="str">
        <f>""</f>
        <v/>
      </c>
    </row>
    <row r="894" spans="1:9" x14ac:dyDescent="0.3">
      <c r="A894" s="2">
        <v>893</v>
      </c>
      <c r="B894" s="4" t="s">
        <v>24</v>
      </c>
      <c r="C894" s="3" t="str">
        <f>"TFC000000641"</f>
        <v>TFC000000641</v>
      </c>
      <c r="D894" s="3" t="str">
        <f>"F800-20-0695-(AR 2.3)"</f>
        <v>F800-20-0695-(AR 2.3)</v>
      </c>
      <c r="E894" s="3" t="str">
        <f>"(The)seals on the bus"</f>
        <v>(The)seals on the bus</v>
      </c>
      <c r="F894" s="3" t="str">
        <f>"by Lenny Hort ; illustrated by G. Brian Karas"</f>
        <v>by Lenny Hort ; illustrated by G. Brian Karas</v>
      </c>
      <c r="G894" s="3" t="str">
        <f>"Henry Holt and Company"</f>
        <v>Henry Holt and Company</v>
      </c>
      <c r="H894" s="2" t="str">
        <f>"2013"</f>
        <v>2013</v>
      </c>
      <c r="I894" s="3" t="str">
        <f>""</f>
        <v/>
      </c>
    </row>
    <row r="895" spans="1:9" x14ac:dyDescent="0.3">
      <c r="A895" s="2">
        <v>894</v>
      </c>
      <c r="B895" s="4" t="s">
        <v>24</v>
      </c>
      <c r="C895" s="3" t="str">
        <f>"TFC000000642"</f>
        <v>TFC000000642</v>
      </c>
      <c r="D895" s="3" t="str">
        <f>"F800-20-0696-(AR 2.3)"</f>
        <v>F800-20-0696-(AR 2.3)</v>
      </c>
      <c r="E895" s="3" t="str">
        <f>"(The)blue eye"</f>
        <v>(The)blue eye</v>
      </c>
      <c r="F895" s="3" t="str">
        <f>"written by Roderick Hunt ; illustrated by Alex Brychta"</f>
        <v>written by Roderick Hunt ; illustrated by Alex Brychta</v>
      </c>
      <c r="G895" s="3" t="str">
        <f>"Oxford University Press"</f>
        <v>Oxford University Press</v>
      </c>
      <c r="H895" s="2" t="str">
        <f>"2011"</f>
        <v>2011</v>
      </c>
      <c r="I895" s="3" t="str">
        <f>""</f>
        <v/>
      </c>
    </row>
    <row r="896" spans="1:9" x14ac:dyDescent="0.3">
      <c r="A896" s="2">
        <v>895</v>
      </c>
      <c r="B896" s="4" t="s">
        <v>24</v>
      </c>
      <c r="C896" s="3" t="str">
        <f>"TFC000000643"</f>
        <v>TFC000000643</v>
      </c>
      <c r="D896" s="3" t="str">
        <f>"F800-20-0697-(AR 2.3)"</f>
        <v>F800-20-0697-(AR 2.3)</v>
      </c>
      <c r="E896" s="3" t="str">
        <f>"(The)good egg"</f>
        <v>(The)good egg</v>
      </c>
      <c r="F896" s="3" t="str">
        <f>"Jory John ; illuatrated by Pete Oswald"</f>
        <v>Jory John ; illuatrated by Pete Oswald</v>
      </c>
      <c r="G896" s="3" t="str">
        <f>"Harper"</f>
        <v>Harper</v>
      </c>
      <c r="H896" s="2" t="str">
        <f>"2019"</f>
        <v>2019</v>
      </c>
      <c r="I896" s="3" t="str">
        <f>""</f>
        <v/>
      </c>
    </row>
    <row r="897" spans="1:9" x14ac:dyDescent="0.3">
      <c r="A897" s="2">
        <v>896</v>
      </c>
      <c r="B897" s="4" t="s">
        <v>24</v>
      </c>
      <c r="C897" s="3" t="str">
        <f>"TFC000000644"</f>
        <v>TFC000000644</v>
      </c>
      <c r="D897" s="3" t="str">
        <f>"F800-20-0698-(AR 2.3)"</f>
        <v>F800-20-0698-(AR 2.3)</v>
      </c>
      <c r="E897" s="3" t="str">
        <f>"Lunch lady and the author visit vendetta"</f>
        <v>Lunch lady and the author visit vendetta</v>
      </c>
      <c r="F897" s="3" t="str">
        <f>"by Jarrett Krosoczka"</f>
        <v>by Jarrett Krosoczka</v>
      </c>
      <c r="G897" s="3" t="str">
        <f>"Alfred A. Knopf"</f>
        <v>Alfred A. Knopf</v>
      </c>
      <c r="H897" s="2" t="str">
        <f>"2009"</f>
        <v>2009</v>
      </c>
      <c r="I897" s="3" t="str">
        <f>""</f>
        <v/>
      </c>
    </row>
    <row r="898" spans="1:9" x14ac:dyDescent="0.3">
      <c r="A898" s="2">
        <v>897</v>
      </c>
      <c r="B898" s="4" t="s">
        <v>24</v>
      </c>
      <c r="C898" s="3" t="str">
        <f>"TFC000000645"</f>
        <v>TFC000000645</v>
      </c>
      <c r="D898" s="3" t="str">
        <f>"F800-20-0699-(AR 2.3)"</f>
        <v>F800-20-0699-(AR 2.3)</v>
      </c>
      <c r="E898" s="3" t="str">
        <f>"Eat my dust! Henry ford's first race"</f>
        <v>Eat my dust! Henry ford's first race</v>
      </c>
      <c r="F898" s="3" t="str">
        <f>"by Monica Kulling ; illustrated by Richard Walz"</f>
        <v>by Monica Kulling ; illustrated by Richard Walz</v>
      </c>
      <c r="G898" s="3" t="str">
        <f>"Random House"</f>
        <v>Random House</v>
      </c>
      <c r="H898" s="2" t="str">
        <f>"2004"</f>
        <v>2004</v>
      </c>
      <c r="I898" s="3" t="str">
        <f>""</f>
        <v/>
      </c>
    </row>
    <row r="899" spans="1:9" x14ac:dyDescent="0.3">
      <c r="A899" s="2">
        <v>898</v>
      </c>
      <c r="B899" s="4" t="s">
        <v>24</v>
      </c>
      <c r="C899" s="3" t="str">
        <f>"TFC000000646"</f>
        <v>TFC000000646</v>
      </c>
      <c r="D899" s="3" t="str">
        <f>"F800-20-0700-(AR 2.3)"</f>
        <v>F800-20-0700-(AR 2.3)</v>
      </c>
      <c r="E899" s="3" t="str">
        <f>"Froggy goes to Hawaii"</f>
        <v>Froggy goes to Hawaii</v>
      </c>
      <c r="F899" s="3" t="str">
        <f>"by Jonathan London ; illustrated by Frank Remkiewicz"</f>
        <v>by Jonathan London ; illustrated by Frank Remkiewicz</v>
      </c>
      <c r="G899" s="3" t="str">
        <f>"Puffin Books"</f>
        <v>Puffin Books</v>
      </c>
      <c r="H899" s="2" t="str">
        <f>"1995"</f>
        <v>1995</v>
      </c>
      <c r="I899" s="3" t="str">
        <f>""</f>
        <v/>
      </c>
    </row>
    <row r="900" spans="1:9" x14ac:dyDescent="0.3">
      <c r="A900" s="2">
        <v>899</v>
      </c>
      <c r="B900" s="4" t="s">
        <v>24</v>
      </c>
      <c r="C900" s="3" t="str">
        <f>"TFC000000647"</f>
        <v>TFC000000647</v>
      </c>
      <c r="D900" s="3" t="str">
        <f>"F800-20-0701-(AR 2.3)"</f>
        <v>F800-20-0701-(AR 2.3)</v>
      </c>
      <c r="E900" s="3" t="str">
        <f>"Quiet please, Owen McPhee!"</f>
        <v>Quiet please, Owen McPhee!</v>
      </c>
      <c r="F900" s="3" t="str">
        <f>"Trudy Ludwig ; illustrated by Patrice Barton"</f>
        <v>Trudy Ludwig ; illustrated by Patrice Barton</v>
      </c>
      <c r="G900" s="3" t="str">
        <f>"Alfred A. Knopf"</f>
        <v>Alfred A. Knopf</v>
      </c>
      <c r="H900" s="2" t="str">
        <f>"2018"</f>
        <v>2018</v>
      </c>
      <c r="I900" s="3" t="str">
        <f>""</f>
        <v/>
      </c>
    </row>
    <row r="901" spans="1:9" x14ac:dyDescent="0.3">
      <c r="A901" s="2">
        <v>900</v>
      </c>
      <c r="B901" s="4" t="s">
        <v>24</v>
      </c>
      <c r="C901" s="3" t="str">
        <f>"TFC000000648"</f>
        <v>TFC000000648</v>
      </c>
      <c r="D901" s="3" t="str">
        <f>"F800-20-0702-(AR 2.3)"</f>
        <v>F800-20-0702-(AR 2.3)</v>
      </c>
      <c r="E901" s="3" t="str">
        <f>"What mommies do best ; What daddies do best"</f>
        <v>What mommies do best ; What daddies do best</v>
      </c>
      <c r="F901" s="3" t="str">
        <f>"by Laura Numefoff ; illustrated by Lynn Munsinger"</f>
        <v>by Laura Numefoff ; illustrated by Lynn Munsinger</v>
      </c>
      <c r="G901" s="3" t="str">
        <f>"Simon &amp; Schuster Book for Young Readers"</f>
        <v>Simon &amp; Schuster Book for Young Readers</v>
      </c>
      <c r="H901" s="2" t="str">
        <f>"1998"</f>
        <v>1998</v>
      </c>
      <c r="I901" s="3" t="str">
        <f>""</f>
        <v/>
      </c>
    </row>
    <row r="902" spans="1:9" x14ac:dyDescent="0.3">
      <c r="A902" s="2">
        <v>901</v>
      </c>
      <c r="B902" s="4" t="s">
        <v>24</v>
      </c>
      <c r="C902" s="3" t="str">
        <f>"TFC000000650"</f>
        <v>TFC000000650</v>
      </c>
      <c r="D902" s="3" t="str">
        <f>"F800-20-0704-(AR 2.3)"</f>
        <v>F800-20-0704-(AR 2.3)</v>
      </c>
      <c r="E902" s="3" t="str">
        <f>"My name is yoon"</f>
        <v>My name is yoon</v>
      </c>
      <c r="F902" s="3" t="str">
        <f>"Helen Recorvits ; pictures by Gabi Swiatkowska"</f>
        <v>Helen Recorvits ; pictures by Gabi Swiatkowska</v>
      </c>
      <c r="G902" s="3" t="str">
        <f>"Square Fish"</f>
        <v>Square Fish</v>
      </c>
      <c r="H902" s="2" t="str">
        <f>"2014"</f>
        <v>2014</v>
      </c>
      <c r="I902" s="3" t="str">
        <f>""</f>
        <v/>
      </c>
    </row>
    <row r="903" spans="1:9" x14ac:dyDescent="0.3">
      <c r="A903" s="2">
        <v>902</v>
      </c>
      <c r="B903" s="4" t="s">
        <v>24</v>
      </c>
      <c r="C903" s="3" t="str">
        <f>"TFC000000651"</f>
        <v>TFC000000651</v>
      </c>
      <c r="D903" s="3" t="str">
        <f>"F800-20-0705-(AR 2.3)"</f>
        <v>F800-20-0705-(AR 2.3)</v>
      </c>
      <c r="E903" s="3" t="str">
        <f>"Creepy carrots!"</f>
        <v>Creepy carrots!</v>
      </c>
      <c r="F903" s="3" t="str">
        <f>"words Aaron Reynolds ; pictures Peter Brown"</f>
        <v>words Aaron Reynolds ; pictures Peter Brown</v>
      </c>
      <c r="G903" s="3" t="str">
        <f>"Simon &amp; Schuster Books for Young Readers"</f>
        <v>Simon &amp; Schuster Books for Young Readers</v>
      </c>
      <c r="H903" s="2" t="str">
        <f>"2012"</f>
        <v>2012</v>
      </c>
      <c r="I903" s="3" t="str">
        <f>""</f>
        <v/>
      </c>
    </row>
    <row r="904" spans="1:9" x14ac:dyDescent="0.3">
      <c r="A904" s="2">
        <v>903</v>
      </c>
      <c r="B904" s="4" t="s">
        <v>24</v>
      </c>
      <c r="C904" s="3" t="str">
        <f>"TFC000000653"</f>
        <v>TFC000000653</v>
      </c>
      <c r="D904" s="3" t="str">
        <f>"F800-20-0707-(AR 2.3)"</f>
        <v>F800-20-0707-(AR 2.3)</v>
      </c>
      <c r="E904" s="3" t="str">
        <f>"Dear girl"</f>
        <v>Dear girl</v>
      </c>
      <c r="F904" s="3" t="str">
        <f>"by Amy Krouse Rosenthal, Paris Rosenthal ; illustrated by Holly Hatam"</f>
        <v>by Amy Krouse Rosenthal, Paris Rosenthal ; illustrated by Holly Hatam</v>
      </c>
      <c r="G904" s="3" t="str">
        <f>"Harper"</f>
        <v>Harper</v>
      </c>
      <c r="H904" s="2" t="str">
        <f>"2017"</f>
        <v>2017</v>
      </c>
      <c r="I904" s="3" t="str">
        <f>""</f>
        <v/>
      </c>
    </row>
    <row r="905" spans="1:9" x14ac:dyDescent="0.3">
      <c r="A905" s="2">
        <v>904</v>
      </c>
      <c r="B905" s="4" t="s">
        <v>24</v>
      </c>
      <c r="C905" s="3" t="str">
        <f>"TFC000000654"</f>
        <v>TFC000000654</v>
      </c>
      <c r="D905" s="3" t="str">
        <f>"F800-20-0708-(AR 2.3)"</f>
        <v>F800-20-0708-(AR 2.3)</v>
      </c>
      <c r="E905" s="3" t="str">
        <f>"Dear boy"</f>
        <v>Dear boy</v>
      </c>
      <c r="F905" s="3" t="str">
        <f>"by Paris Rosenthal, Jason Rosenthal ; illustrated by Holly Hatam"</f>
        <v>by Paris Rosenthal, Jason Rosenthal ; illustrated by Holly Hatam</v>
      </c>
      <c r="G905" s="3" t="str">
        <f>"Harper"</f>
        <v>Harper</v>
      </c>
      <c r="H905" s="2" t="str">
        <f>"2019"</f>
        <v>2019</v>
      </c>
      <c r="I905" s="3" t="str">
        <f>""</f>
        <v/>
      </c>
    </row>
    <row r="906" spans="1:9" x14ac:dyDescent="0.3">
      <c r="A906" s="2">
        <v>905</v>
      </c>
      <c r="B906" s="4" t="s">
        <v>24</v>
      </c>
      <c r="C906" s="3" t="str">
        <f>"TFC000000655"</f>
        <v>TFC000000655</v>
      </c>
      <c r="D906" s="3" t="str">
        <f>"F800-20-0709-(AR 2.3)"</f>
        <v>F800-20-0709-(AR 2.3)</v>
      </c>
      <c r="E906" s="3" t="str">
        <f>"Spoon"</f>
        <v>Spoon</v>
      </c>
      <c r="F906" s="3" t="str">
        <f>"written by Amy Krouse Rosenthal ; illustrated by Scott Magoon"</f>
        <v>written by Amy Krouse Rosenthal ; illustrated by Scott Magoon</v>
      </c>
      <c r="G906" s="3" t="str">
        <f>"Disney·Hyperion"</f>
        <v>Disney·Hyperion</v>
      </c>
      <c r="H906" s="2" t="str">
        <f>"2009"</f>
        <v>2009</v>
      </c>
      <c r="I906" s="3" t="str">
        <f>""</f>
        <v/>
      </c>
    </row>
    <row r="907" spans="1:9" x14ac:dyDescent="0.3">
      <c r="A907" s="2">
        <v>906</v>
      </c>
      <c r="B907" s="4" t="s">
        <v>24</v>
      </c>
      <c r="C907" s="3" t="str">
        <f>"TFC000000662"</f>
        <v>TFC000000662</v>
      </c>
      <c r="D907" s="3" t="str">
        <f>"F800-20-0716-(AR 2.3)"</f>
        <v>F800-20-0716-(AR 2.3)</v>
      </c>
      <c r="E907" s="3" t="str">
        <f>"Mr. Putter &amp; Tabby catch the cold"</f>
        <v>Mr. Putter &amp; Tabby catch the cold</v>
      </c>
      <c r="F907" s="3" t="str">
        <f>"Cynthia Rylant ; illustrated by Arthur Howard"</f>
        <v>Cynthia Rylant ; illustrated by Arthur Howard</v>
      </c>
      <c r="G907" s="3" t="str">
        <f>"Harcourt Mifflin Harcourt"</f>
        <v>Harcourt Mifflin Harcourt</v>
      </c>
      <c r="H907" s="2" t="str">
        <f>"2003"</f>
        <v>2003</v>
      </c>
      <c r="I907" s="3" t="str">
        <f>""</f>
        <v/>
      </c>
    </row>
    <row r="908" spans="1:9" x14ac:dyDescent="0.3">
      <c r="A908" s="2">
        <v>907</v>
      </c>
      <c r="B908" s="4" t="s">
        <v>24</v>
      </c>
      <c r="C908" s="3" t="str">
        <f>"TFC000000663"</f>
        <v>TFC000000663</v>
      </c>
      <c r="D908" s="3" t="str">
        <f>"F800-20-0717-(AR 2.3)"</f>
        <v>F800-20-0717-(AR 2.3)</v>
      </c>
      <c r="E908" s="3" t="str">
        <f>"(The)adventures of Beekle : the unimaginary friend"</f>
        <v>(The)adventures of Beekle : the unimaginary friend</v>
      </c>
      <c r="F908" s="3" t="str">
        <f>"Dan Santat"</f>
        <v>Dan Santat</v>
      </c>
      <c r="G908" s="3" t="str">
        <f>"Little, Brown and Company"</f>
        <v>Little, Brown and Company</v>
      </c>
      <c r="H908" s="2" t="str">
        <f>"2014"</f>
        <v>2014</v>
      </c>
      <c r="I908" s="3" t="str">
        <f>""</f>
        <v/>
      </c>
    </row>
    <row r="909" spans="1:9" x14ac:dyDescent="0.3">
      <c r="A909" s="2">
        <v>908</v>
      </c>
      <c r="B909" s="4" t="s">
        <v>24</v>
      </c>
      <c r="C909" s="3" t="str">
        <f>"TFC000000664"</f>
        <v>TFC000000664</v>
      </c>
      <c r="D909" s="3" t="str">
        <f>"F800-20-0718-(AR 2.3)"</f>
        <v>F800-20-0718-(AR 2.3)</v>
      </c>
      <c r="E909" s="3" t="str">
        <f>"Splat the cat and the duck with no quack"</f>
        <v>Splat the cat and the duck with no quack</v>
      </c>
      <c r="F909" s="3" t="str">
        <f>"based on the bestselling books by Rob Scotton ; interior illustrations by Robert Eberz"</f>
        <v>based on the bestselling books by Rob Scotton ; interior illustrations by Robert Eberz</v>
      </c>
      <c r="G909" s="3" t="str">
        <f>"Harper"</f>
        <v>Harper</v>
      </c>
      <c r="H909" s="2" t="str">
        <f>"2011"</f>
        <v>2011</v>
      </c>
      <c r="I909" s="3" t="str">
        <f>""</f>
        <v/>
      </c>
    </row>
    <row r="910" spans="1:9" x14ac:dyDescent="0.3">
      <c r="A910" s="2">
        <v>909</v>
      </c>
      <c r="B910" s="4" t="s">
        <v>24</v>
      </c>
      <c r="C910" s="3" t="str">
        <f>"TFC000000665"</f>
        <v>TFC000000665</v>
      </c>
      <c r="D910" s="3" t="str">
        <f>"F800-20-0719-(AR 2.3)"</f>
        <v>F800-20-0719-(AR 2.3)</v>
      </c>
      <c r="E910" s="3" t="str">
        <f>"(The)phone booth in Mr. Hirota's garden"</f>
        <v>(The)phone booth in Mr. Hirota's garden</v>
      </c>
      <c r="F910" s="3" t="str">
        <f>"Heather Smith ; illustrated by Rachel Wada"</f>
        <v>Heather Smith ; illustrated by Rachel Wada</v>
      </c>
      <c r="G910" s="3" t="str">
        <f>"Orca Book Publishers"</f>
        <v>Orca Book Publishers</v>
      </c>
      <c r="H910" s="2" t="str">
        <f>"2019"</f>
        <v>2019</v>
      </c>
      <c r="I910" s="3" t="str">
        <f>""</f>
        <v/>
      </c>
    </row>
    <row r="911" spans="1:9" x14ac:dyDescent="0.3">
      <c r="A911" s="2">
        <v>910</v>
      </c>
      <c r="B911" s="4" t="s">
        <v>24</v>
      </c>
      <c r="C911" s="3" t="str">
        <f>"TFC000000666"</f>
        <v>TFC000000666</v>
      </c>
      <c r="D911" s="3" t="str">
        <f>"F800-20-0720-(AR 2.3)"</f>
        <v>F800-20-0720-(AR 2.3)</v>
      </c>
      <c r="E911" s="3" t="str">
        <f>"Small in the City"</f>
        <v>Small in the City</v>
      </c>
      <c r="F911" s="3" t="str">
        <f>"Sydney Smith"</f>
        <v>Sydney Smith</v>
      </c>
      <c r="G911" s="3" t="str">
        <f>"Neal Porter Books"</f>
        <v>Neal Porter Books</v>
      </c>
      <c r="H911" s="2" t="str">
        <f>"2019"</f>
        <v>2019</v>
      </c>
      <c r="I911" s="3" t="str">
        <f>""</f>
        <v/>
      </c>
    </row>
    <row r="912" spans="1:9" x14ac:dyDescent="0.3">
      <c r="A912" s="2">
        <v>911</v>
      </c>
      <c r="B912" s="4" t="s">
        <v>24</v>
      </c>
      <c r="C912" s="3" t="str">
        <f>"TFC000000667"</f>
        <v>TFC000000667</v>
      </c>
      <c r="D912" s="3" t="str">
        <f>"F800-20-0721-(AR 2.3)"</f>
        <v>F800-20-0721-(AR 2.3)</v>
      </c>
      <c r="E912" s="3" t="str">
        <f>"Goosebumps graphix : creepy creatures"</f>
        <v>Goosebumps graphix : creepy creatures</v>
      </c>
      <c r="F912" s="3" t="str">
        <f>"by R. L. Stine"</f>
        <v>by R. L. Stine</v>
      </c>
      <c r="G912" s="3" t="str">
        <f>"Scholastic"</f>
        <v>Scholastic</v>
      </c>
      <c r="H912" s="2" t="str">
        <f>"2006"</f>
        <v>2006</v>
      </c>
      <c r="I912" s="3" t="str">
        <f>""</f>
        <v/>
      </c>
    </row>
    <row r="913" spans="1:9" x14ac:dyDescent="0.3">
      <c r="A913" s="2">
        <v>912</v>
      </c>
      <c r="B913" s="4" t="s">
        <v>24</v>
      </c>
      <c r="C913" s="3" t="str">
        <f>"TFC000000668"</f>
        <v>TFC000000668</v>
      </c>
      <c r="D913" s="3" t="str">
        <f>"F800-20-0722-(AR 2.3)"</f>
        <v>F800-20-0722-(AR 2.3)</v>
      </c>
      <c r="E913" s="3" t="str">
        <f>"Grumpy cat"</f>
        <v>Grumpy cat</v>
      </c>
      <c r="F913" s="3" t="str">
        <f>"Britta Teckentrup"</f>
        <v>Britta Teckentrup</v>
      </c>
      <c r="G913" s="3" t="str">
        <f>"Scholastic"</f>
        <v>Scholastic</v>
      </c>
      <c r="H913" s="2" t="str">
        <f>"2013"</f>
        <v>2013</v>
      </c>
      <c r="I913" s="3" t="str">
        <f>""</f>
        <v/>
      </c>
    </row>
    <row r="914" spans="1:9" x14ac:dyDescent="0.3">
      <c r="A914" s="2">
        <v>913</v>
      </c>
      <c r="B914" s="4" t="s">
        <v>24</v>
      </c>
      <c r="C914" s="3" t="str">
        <f>"TFC000000669"</f>
        <v>TFC000000669</v>
      </c>
      <c r="D914" s="3" t="str">
        <f>"F800-20-0723-(AR 2.3)"</f>
        <v>F800-20-0723-(AR 2.3)</v>
      </c>
      <c r="E914" s="3" t="str">
        <f>"How to catch a dragon"</f>
        <v>How to catch a dragon</v>
      </c>
      <c r="F914" s="3" t="str">
        <f>"written by Adam Wallace ; illustrated by Andy Elkerton"</f>
        <v>written by Adam Wallace ; illustrated by Andy Elkerton</v>
      </c>
      <c r="G914" s="3" t="str">
        <f>"Sourcebooks Wonderland"</f>
        <v>Sourcebooks Wonderland</v>
      </c>
      <c r="H914" s="2" t="str">
        <f>"2019"</f>
        <v>2019</v>
      </c>
      <c r="I914" s="3" t="str">
        <f>""</f>
        <v/>
      </c>
    </row>
    <row r="915" spans="1:9" x14ac:dyDescent="0.3">
      <c r="A915" s="2">
        <v>914</v>
      </c>
      <c r="B915" s="4" t="s">
        <v>24</v>
      </c>
      <c r="C915" s="3" t="str">
        <f>"TFC000000670"</f>
        <v>TFC000000670</v>
      </c>
      <c r="D915" s="3" t="str">
        <f>"F800-20-0724-(AR 2.3)"</f>
        <v>F800-20-0724-(AR 2.3)</v>
      </c>
      <c r="E915" s="3" t="str">
        <f>"(The)three pigs"</f>
        <v>(The)three pigs</v>
      </c>
      <c r="F915" s="3" t="str">
        <f>"David Wiesner"</f>
        <v>David Wiesner</v>
      </c>
      <c r="G915" s="3" t="str">
        <f>"Clarion Books"</f>
        <v>Clarion Books</v>
      </c>
      <c r="H915" s="2" t="str">
        <f>"2001"</f>
        <v>2001</v>
      </c>
      <c r="I915" s="3" t="str">
        <f>""</f>
        <v/>
      </c>
    </row>
    <row r="916" spans="1:9" x14ac:dyDescent="0.3">
      <c r="A916" s="2">
        <v>915</v>
      </c>
      <c r="B916" s="4" t="s">
        <v>24</v>
      </c>
      <c r="C916" s="3" t="str">
        <f>"TFC000000671"</f>
        <v>TFC000000671</v>
      </c>
      <c r="D916" s="3" t="str">
        <f>"F800-20-0725-(AR 2.3)"</f>
        <v>F800-20-0725-(AR 2.3)</v>
      </c>
      <c r="E916" s="3" t="str">
        <f>"Bear feels scared"</f>
        <v>Bear feels scared</v>
      </c>
      <c r="F916" s="3" t="str">
        <f>"Karma Wilson ; illustrated by Jane Chapman [illustrated by]"</f>
        <v>Karma Wilson ; illustrated by Jane Chapman [illustrated by]</v>
      </c>
      <c r="G916" s="3" t="str">
        <f>"Margaret K.McElderry Books"</f>
        <v>Margaret K.McElderry Books</v>
      </c>
      <c r="H916" s="2" t="str">
        <f>"2008"</f>
        <v>2008</v>
      </c>
      <c r="I916" s="3" t="str">
        <f>""</f>
        <v/>
      </c>
    </row>
    <row r="917" spans="1:9" x14ac:dyDescent="0.3">
      <c r="A917" s="2">
        <v>916</v>
      </c>
      <c r="B917" s="4" t="s">
        <v>24</v>
      </c>
      <c r="C917" s="3" t="str">
        <f>"TFC000002832"</f>
        <v>TFC000002832</v>
      </c>
      <c r="D917" s="3" t="str">
        <f>"F900-20-0739-(AR 2.3)"</f>
        <v>F900-20-0739-(AR 2.3)</v>
      </c>
      <c r="E917" s="3" t="str">
        <f>"(The)white house"</f>
        <v>(The)white house</v>
      </c>
      <c r="F917" s="3" t="str">
        <f>"by Lloyd G. Douglas"</f>
        <v>by Lloyd G. Douglas</v>
      </c>
      <c r="G917" s="3" t="str">
        <f>"Scholastic"</f>
        <v>Scholastic</v>
      </c>
      <c r="H917" s="2" t="str">
        <f>"2003"</f>
        <v>2003</v>
      </c>
      <c r="I917" s="3" t="str">
        <f>""</f>
        <v/>
      </c>
    </row>
    <row r="918" spans="1:9" x14ac:dyDescent="0.3">
      <c r="A918" s="2">
        <v>917</v>
      </c>
      <c r="B918" s="4" t="s">
        <v>24</v>
      </c>
      <c r="C918" s="3" t="str">
        <f>"TFC000002829"</f>
        <v>TFC000002829</v>
      </c>
      <c r="D918" s="3" t="str">
        <f>"F800-20-0726-(AR 2.3)"</f>
        <v>F800-20-0726-(AR 2.3)</v>
      </c>
      <c r="E918" s="3" t="str">
        <f>"(A)good night walk"</f>
        <v>(A)good night walk</v>
      </c>
      <c r="F918" s="3" t="str">
        <f>"Elisha Cooper"</f>
        <v>Elisha Cooper</v>
      </c>
      <c r="G918" s="3" t="str">
        <f>"Scholastic"</f>
        <v>Scholastic</v>
      </c>
      <c r="H918" s="2" t="str">
        <f>"2005"</f>
        <v>2005</v>
      </c>
      <c r="I918" s="3" t="str">
        <f>""</f>
        <v/>
      </c>
    </row>
    <row r="919" spans="1:9" x14ac:dyDescent="0.3">
      <c r="A919" s="2">
        <v>918</v>
      </c>
      <c r="B919" s="4" t="s">
        <v>24</v>
      </c>
      <c r="C919" s="3" t="str">
        <f>"TFC000002831"</f>
        <v>TFC000002831</v>
      </c>
      <c r="D919" s="3" t="str">
        <f>"F800-20-0728-(AR 2.3)"</f>
        <v>F800-20-0728-(AR 2.3)</v>
      </c>
      <c r="E919" s="3" t="str">
        <f>"(The)wax man"</f>
        <v>(The)wax man</v>
      </c>
      <c r="F919" s="3" t="str">
        <f>"Latin American story retold by Olga Loya ; illustrated by Raymond Ortiz Godfrey"</f>
        <v>Latin American story retold by Olga Loya ; illustrated by Raymond Ortiz Godfrey</v>
      </c>
      <c r="G919" s="3" t="str">
        <f>"Scholastic"</f>
        <v>Scholastic</v>
      </c>
      <c r="H919" s="2" t="str">
        <f>"1994"</f>
        <v>1994</v>
      </c>
      <c r="I919" s="3" t="str">
        <f>""</f>
        <v/>
      </c>
    </row>
    <row r="920" spans="1:9" x14ac:dyDescent="0.3">
      <c r="A920" s="2">
        <v>919</v>
      </c>
      <c r="B920" s="4" t="s">
        <v>24</v>
      </c>
      <c r="C920" s="3" t="str">
        <f>"TFC000002833"</f>
        <v>TFC000002833</v>
      </c>
      <c r="D920" s="3" t="str">
        <f>"F800-20-0729-(AR 2.3)"</f>
        <v>F800-20-0729-(AR 2.3)</v>
      </c>
      <c r="E920" s="3" t="str">
        <f>"Key trouble"</f>
        <v>Key trouble</v>
      </c>
      <c r="F920" s="3" t="str">
        <f>"written by Roderick Hunt ; illustrated by Alex Brychta"</f>
        <v>written by Roderick Hunt ; illustrated by Alex Brychta</v>
      </c>
      <c r="G920" s="3" t="str">
        <f>"Oxford University Press"</f>
        <v>Oxford University Press</v>
      </c>
      <c r="H920" s="2" t="str">
        <f>"2011"</f>
        <v>2011</v>
      </c>
      <c r="I920" s="3" t="str">
        <f>""</f>
        <v/>
      </c>
    </row>
    <row r="921" spans="1:9" x14ac:dyDescent="0.3">
      <c r="A921" s="2">
        <v>920</v>
      </c>
      <c r="B921" s="4" t="s">
        <v>24</v>
      </c>
      <c r="C921" s="3" t="str">
        <f>"TFC000002834"</f>
        <v>TFC000002834</v>
      </c>
      <c r="D921" s="3" t="str">
        <f>"F800-20-0730-(AR 2.3)"</f>
        <v>F800-20-0730-(AR 2.3)</v>
      </c>
      <c r="E921" s="3" t="str">
        <f>"Noah's ark"</f>
        <v>Noah's ark</v>
      </c>
      <c r="F921" s="3" t="str">
        <f>"retold and illustrated by Lucy Cousins"</f>
        <v>retold and illustrated by Lucy Cousins</v>
      </c>
      <c r="G921" s="3" t="str">
        <f>"Walker Books"</f>
        <v>Walker Books</v>
      </c>
      <c r="H921" s="2" t="str">
        <f>"2013"</f>
        <v>2013</v>
      </c>
      <c r="I921" s="3" t="str">
        <f>""</f>
        <v/>
      </c>
    </row>
    <row r="922" spans="1:9" x14ac:dyDescent="0.3">
      <c r="A922" s="2">
        <v>921</v>
      </c>
      <c r="B922" s="4" t="s">
        <v>24</v>
      </c>
      <c r="C922" s="3" t="str">
        <f>"TFC000002936"</f>
        <v>TFC000002936</v>
      </c>
      <c r="D922" s="3" t="str">
        <f>"F800-20-0731-(AR 2.3)"</f>
        <v>F800-20-0731-(AR 2.3)</v>
      </c>
      <c r="E922" s="3" t="str">
        <f>"Biggest, Strongest, Fastest"</f>
        <v>Biggest, Strongest, Fastest</v>
      </c>
      <c r="F922" s="3" t="str">
        <f>"by Steve Jenkins"</f>
        <v>by Steve Jenkins</v>
      </c>
      <c r="G922" s="3" t="str">
        <f>"Scholastic"</f>
        <v>Scholastic</v>
      </c>
      <c r="H922" s="2" t="str">
        <f>"1996"</f>
        <v>1996</v>
      </c>
      <c r="I922" s="3" t="str">
        <f>""</f>
        <v/>
      </c>
    </row>
    <row r="923" spans="1:9" x14ac:dyDescent="0.3">
      <c r="A923" s="2">
        <v>922</v>
      </c>
      <c r="B923" s="4" t="s">
        <v>24</v>
      </c>
      <c r="C923" s="3" t="str">
        <f>"TFC000002983"</f>
        <v>TFC000002983</v>
      </c>
      <c r="D923" s="3" t="str">
        <f>"F800-20-0733-(AR 2.3)"</f>
        <v>F800-20-0733-(AR 2.3)</v>
      </c>
      <c r="E923" s="3" t="str">
        <f>"Capybara's close call"</f>
        <v>Capybara's close call</v>
      </c>
      <c r="F923" s="3" t="str">
        <f>"by J.L. Anderson ; illustrated by Amanda Erb"</f>
        <v>by J.L. Anderson ; illustrated by Amanda Erb</v>
      </c>
      <c r="G923" s="3" t="str">
        <f>"Rourke Educational Media"</f>
        <v>Rourke Educational Media</v>
      </c>
      <c r="H923" s="2" t="str">
        <f>"2020"</f>
        <v>2020</v>
      </c>
      <c r="I923" s="3" t="str">
        <f>""</f>
        <v/>
      </c>
    </row>
    <row r="924" spans="1:9" x14ac:dyDescent="0.3">
      <c r="A924" s="2">
        <v>923</v>
      </c>
      <c r="B924" s="4" t="s">
        <v>24</v>
      </c>
      <c r="C924" s="3" t="str">
        <f>"TFC000002997"</f>
        <v>TFC000002997</v>
      </c>
      <c r="D924" s="3" t="str">
        <f>"F800-20-0734-(AR 2.3)"</f>
        <v>F800-20-0734-(AR 2.3)</v>
      </c>
      <c r="E924" s="3" t="str">
        <f>"Campfire vampire"</f>
        <v>Campfire vampire</v>
      </c>
      <c r="F924" s="3" t="str">
        <f>"by John Sazaklis ; illustrated by Patrycja Fabicka"</f>
        <v>by John Sazaklis ; illustrated by Patrycja Fabicka</v>
      </c>
      <c r="G924" s="3" t="str">
        <f>"Picture Window Books"</f>
        <v>Picture Window Books</v>
      </c>
      <c r="H924" s="2" t="str">
        <f>"2020"</f>
        <v>2020</v>
      </c>
      <c r="I924" s="3" t="str">
        <f>""</f>
        <v/>
      </c>
    </row>
    <row r="925" spans="1:9" x14ac:dyDescent="0.3">
      <c r="A925" s="2">
        <v>924</v>
      </c>
      <c r="B925" s="4" t="s">
        <v>24</v>
      </c>
      <c r="C925" s="3" t="str">
        <f>"TFC000003002"</f>
        <v>TFC000003002</v>
      </c>
      <c r="D925" s="3" t="str">
        <f>"F800-20-0735-(AR 2.3)"</f>
        <v>F800-20-0735-(AR 2.3)</v>
      </c>
      <c r="E925" s="3" t="str">
        <f>"Soccer dreams"</f>
        <v>Soccer dreams</v>
      </c>
      <c r="F925" s="3" t="str">
        <f>"by Shawn Pryor ; illustrated by Genevieve Kote"</f>
        <v>by Shawn Pryor ; illustrated by Genevieve Kote</v>
      </c>
      <c r="G925" s="3" t="str">
        <f>"Picture Window Books"</f>
        <v>Picture Window Books</v>
      </c>
      <c r="H925" s="2" t="str">
        <f>"2020"</f>
        <v>2020</v>
      </c>
      <c r="I925" s="3" t="str">
        <f>""</f>
        <v/>
      </c>
    </row>
    <row r="926" spans="1:9" x14ac:dyDescent="0.3">
      <c r="A926" s="2">
        <v>925</v>
      </c>
      <c r="B926" s="4" t="s">
        <v>24</v>
      </c>
      <c r="C926" s="3" t="str">
        <f>"TFC000003003"</f>
        <v>TFC000003003</v>
      </c>
      <c r="D926" s="3" t="str">
        <f>"F800-20-0736-(AR 2.3)"</f>
        <v>F800-20-0736-(AR 2.3)</v>
      </c>
      <c r="E926" s="3" t="str">
        <f>"Open wide, Katie!"</f>
        <v>Open wide, Katie!</v>
      </c>
      <c r="F926" s="3" t="str">
        <f>"by Fran Manushkin ; illustrated by Laura Zarrin"</f>
        <v>by Fran Manushkin ; illustrated by Laura Zarrin</v>
      </c>
      <c r="G926" s="3" t="str">
        <f>"Picture Window Books"</f>
        <v>Picture Window Books</v>
      </c>
      <c r="H926" s="2" t="str">
        <f>"2020"</f>
        <v>2020</v>
      </c>
      <c r="I926" s="3" t="str">
        <f>""</f>
        <v/>
      </c>
    </row>
    <row r="927" spans="1:9" x14ac:dyDescent="0.3">
      <c r="A927" s="2">
        <v>926</v>
      </c>
      <c r="B927" s="4" t="s">
        <v>24</v>
      </c>
      <c r="C927" s="3" t="str">
        <f>"TFC000003014"</f>
        <v>TFC000003014</v>
      </c>
      <c r="D927" s="3" t="str">
        <f>"F800-20-0737-(AR 2.3)"</f>
        <v>F800-20-0737-(AR 2.3)</v>
      </c>
      <c r="E927" s="3" t="str">
        <f>"Snail crossing"</f>
        <v>Snail crossing</v>
      </c>
      <c r="F927" s="3" t="str">
        <f>"Corey R. Tabor"</f>
        <v>Corey R. Tabor</v>
      </c>
      <c r="G927" s="3" t="str">
        <f>"Balzer &amp; Bray"</f>
        <v>Balzer &amp; Bray</v>
      </c>
      <c r="H927" s="2" t="str">
        <f>"2020"</f>
        <v>2020</v>
      </c>
      <c r="I927" s="3" t="str">
        <f>""</f>
        <v/>
      </c>
    </row>
    <row r="928" spans="1:9" x14ac:dyDescent="0.3">
      <c r="A928" s="2">
        <v>927</v>
      </c>
      <c r="B928" s="4" t="s">
        <v>24</v>
      </c>
      <c r="C928" s="3" t="str">
        <f>"TFC000003108"</f>
        <v>TFC000003108</v>
      </c>
      <c r="D928" s="3" t="str">
        <f>"F800-20-0738-(AR 2.3)"</f>
        <v>F800-20-0738-(AR 2.3)</v>
      </c>
      <c r="E928" s="3" t="str">
        <f>"And then it's spring"</f>
        <v>And then it's spring</v>
      </c>
      <c r="F928" s="3" t="str">
        <f>"written by Julie Fogliano ; illustrated by Erin E. Stead"</f>
        <v>written by Julie Fogliano ; illustrated by Erin E. Stead</v>
      </c>
      <c r="G928" s="3" t="str">
        <f>"Roaring Brook Press"</f>
        <v>Roaring Brook Press</v>
      </c>
      <c r="H928" s="2" t="str">
        <f>"2012"</f>
        <v>2012</v>
      </c>
      <c r="I928" s="3" t="str">
        <f>""</f>
        <v/>
      </c>
    </row>
    <row r="929" spans="1:9" x14ac:dyDescent="0.3">
      <c r="A929" s="2">
        <v>928</v>
      </c>
      <c r="B929" s="4" t="s">
        <v>24</v>
      </c>
      <c r="C929" s="3" t="str">
        <f>"TFC000003201"</f>
        <v>TFC000003201</v>
      </c>
      <c r="D929" s="3" t="str">
        <f>"F400-21-0181-(AR 2.3)"</f>
        <v>F400-21-0181-(AR 2.3)</v>
      </c>
      <c r="E929" s="3" t="str">
        <f>"(The)magic school bus get crabby"</f>
        <v>(The)magic school bus get crabby</v>
      </c>
      <c r="F929" s="3" t="str">
        <f>"written by Kristin Earhart ; illustrated by Carolyn Bracken"</f>
        <v>written by Kristin Earhart ; illustrated by Carolyn Bracken</v>
      </c>
      <c r="G929" s="3" t="str">
        <f>"Scholastic"</f>
        <v>Scholastic</v>
      </c>
      <c r="H929" s="2" t="str">
        <f>"20058"</f>
        <v>20058</v>
      </c>
      <c r="I929" s="3" t="str">
        <f>""</f>
        <v/>
      </c>
    </row>
    <row r="930" spans="1:9" x14ac:dyDescent="0.3">
      <c r="A930" s="2">
        <v>929</v>
      </c>
      <c r="B930" s="4" t="s">
        <v>24</v>
      </c>
      <c r="C930" s="3" t="str">
        <f>"TFC000003209"</f>
        <v>TFC000003209</v>
      </c>
      <c r="D930" s="3" t="str">
        <f>"F800-21-0186-(AR 2.3)"</f>
        <v>F800-21-0186-(AR 2.3)</v>
      </c>
      <c r="E930" s="3" t="str">
        <f>"Get well, good knight"</f>
        <v>Get well, good knight</v>
      </c>
      <c r="F930" s="3" t="str">
        <f>"by Shelley Moore Thomas ; pictures by Jennifer Plecas"</f>
        <v>by Shelley Moore Thomas ; pictures by Jennifer Plecas</v>
      </c>
      <c r="G930" s="3" t="str">
        <f>"Penguin Young Readers"</f>
        <v>Penguin Young Readers</v>
      </c>
      <c r="H930" s="2" t="str">
        <f>"2012"</f>
        <v>2012</v>
      </c>
      <c r="I930" s="3" t="str">
        <f>""</f>
        <v/>
      </c>
    </row>
    <row r="931" spans="1:9" x14ac:dyDescent="0.3">
      <c r="A931" s="2">
        <v>930</v>
      </c>
      <c r="B931" s="4" t="s">
        <v>24</v>
      </c>
      <c r="C931" s="3" t="str">
        <f>"TFC000003309"</f>
        <v>TFC000003309</v>
      </c>
      <c r="D931" s="3" t="str">
        <f>"F400-21-0182-(AR 2.3)"</f>
        <v>F400-21-0182-(AR 2.3)</v>
      </c>
      <c r="E931" s="3" t="str">
        <f>"Baby horses"</f>
        <v>Baby horses</v>
      </c>
      <c r="F931" s="3" t="str">
        <f>"by Martha London"</f>
        <v>by Martha London</v>
      </c>
      <c r="G931" s="3" t="str">
        <f>"Cody Koala"</f>
        <v>Cody Koala</v>
      </c>
      <c r="H931" s="2" t="str">
        <f>"2021"</f>
        <v>2021</v>
      </c>
      <c r="I931" s="3" t="str">
        <f>""</f>
        <v/>
      </c>
    </row>
    <row r="932" spans="1:9" x14ac:dyDescent="0.3">
      <c r="A932" s="2">
        <v>931</v>
      </c>
      <c r="B932" s="4" t="s">
        <v>24</v>
      </c>
      <c r="C932" s="3" t="str">
        <f>"TFC000003310"</f>
        <v>TFC000003310</v>
      </c>
      <c r="D932" s="3" t="str">
        <f>"F400-21-0183-(AR 2.3)"</f>
        <v>F400-21-0183-(AR 2.3)</v>
      </c>
      <c r="E932" s="3" t="str">
        <f>"Blue-ringed octopus"</f>
        <v>Blue-ringed octopus</v>
      </c>
      <c r="F932" s="3" t="str">
        <f>"by Julie Murray"</f>
        <v>by Julie Murray</v>
      </c>
      <c r="G932" s="3" t="str">
        <f>"Dash!"</f>
        <v>Dash!</v>
      </c>
      <c r="H932" s="2" t="str">
        <f>"2021"</f>
        <v>2021</v>
      </c>
      <c r="I932" s="3" t="str">
        <f>""</f>
        <v/>
      </c>
    </row>
    <row r="933" spans="1:9" x14ac:dyDescent="0.3">
      <c r="A933" s="2">
        <v>932</v>
      </c>
      <c r="B933" s="4" t="s">
        <v>24</v>
      </c>
      <c r="C933" s="3" t="str">
        <f>"TFC000003311"</f>
        <v>TFC000003311</v>
      </c>
      <c r="D933" s="3" t="str">
        <f>"F800-21-0187-(AR 2.3)"</f>
        <v>F800-21-0187-(AR 2.3)</v>
      </c>
      <c r="E933" s="3" t="str">
        <f>"No Fuzzball!"</f>
        <v>No Fuzzball!</v>
      </c>
      <c r="F933" s="3" t="str">
        <f>"by Isabella Kung"</f>
        <v>by Isabella Kung</v>
      </c>
      <c r="G933" s="3" t="str">
        <f>"Orchard Books"</f>
        <v>Orchard Books</v>
      </c>
      <c r="H933" s="2" t="str">
        <f>"2020"</f>
        <v>2020</v>
      </c>
      <c r="I933" s="3" t="str">
        <f>""</f>
        <v/>
      </c>
    </row>
    <row r="934" spans="1:9" x14ac:dyDescent="0.3">
      <c r="A934" s="2">
        <v>933</v>
      </c>
      <c r="B934" s="4" t="s">
        <v>24</v>
      </c>
      <c r="C934" s="3" t="str">
        <f>"TFC000003452"</f>
        <v>TFC000003452</v>
      </c>
      <c r="D934" s="3" t="str">
        <f>"F800-21-0188-(AR 2.3)"</f>
        <v>F800-21-0188-(AR 2.3)</v>
      </c>
      <c r="E934" s="3" t="str">
        <f>"Another important book"</f>
        <v>Another important book</v>
      </c>
      <c r="F934" s="3" t="str">
        <f>"by Margaret Wise Brown ; illustrated by Chris Raschka"</f>
        <v>by Margaret Wise Brown ; illustrated by Chris Raschka</v>
      </c>
      <c r="G934" s="3" t="str">
        <f>"HarperCollins Children's"</f>
        <v>HarperCollins Children's</v>
      </c>
      <c r="H934" s="2" t="str">
        <f>"2007"</f>
        <v>2007</v>
      </c>
      <c r="I934" s="3" t="str">
        <f>""</f>
        <v/>
      </c>
    </row>
    <row r="935" spans="1:9" x14ac:dyDescent="0.3">
      <c r="A935" s="2">
        <v>934</v>
      </c>
      <c r="B935" s="4" t="s">
        <v>24</v>
      </c>
      <c r="C935" s="3" t="str">
        <f>"TFC000003453"</f>
        <v>TFC000003453</v>
      </c>
      <c r="D935" s="3" t="str">
        <f>"F800-21-0189-(AR 2.3)"</f>
        <v>F800-21-0189-(AR 2.3)</v>
      </c>
      <c r="E935" s="3" t="str">
        <f>"Mr. Rabbit and the lovely present"</f>
        <v>Mr. Rabbit and the lovely present</v>
      </c>
      <c r="F935" s="3" t="str">
        <f>"by Charlotte Zolotow ; pictures by Maurice Sendak"</f>
        <v>by Charlotte Zolotow ; pictures by Maurice Sendak</v>
      </c>
      <c r="G935" s="3" t="str">
        <f>"HarperCollins"</f>
        <v>HarperCollins</v>
      </c>
      <c r="H935" s="2" t="str">
        <f>"2007"</f>
        <v>2007</v>
      </c>
      <c r="I935" s="3" t="str">
        <f>""</f>
        <v/>
      </c>
    </row>
    <row r="936" spans="1:9" x14ac:dyDescent="0.3">
      <c r="A936" s="2">
        <v>935</v>
      </c>
      <c r="B936" s="4" t="s">
        <v>24</v>
      </c>
      <c r="C936" s="3" t="str">
        <f>"TFC000003965"</f>
        <v>TFC000003965</v>
      </c>
      <c r="D936" s="3" t="str">
        <f>"F800-21-0211-(AR 2.3)"</f>
        <v>F800-21-0211-(AR 2.3)</v>
      </c>
      <c r="E936" s="3" t="str">
        <f>"(The)Rainbow Mystery"</f>
        <v>(The)Rainbow Mystery</v>
      </c>
      <c r="F936" s="3" t="str">
        <f>"by Jennifer Dussling, illustrated by Barry Gott"</f>
        <v>by Jennifer Dussling, illustrated by Barry Gott</v>
      </c>
      <c r="G936" s="3" t="str">
        <f>"Kane Press"</f>
        <v>Kane Press</v>
      </c>
      <c r="H936" s="2" t="str">
        <f>"2002"</f>
        <v>2002</v>
      </c>
      <c r="I936" s="3" t="str">
        <f>""</f>
        <v/>
      </c>
    </row>
    <row r="937" spans="1:9" x14ac:dyDescent="0.3">
      <c r="A937" s="2">
        <v>936</v>
      </c>
      <c r="B937" s="4" t="s">
        <v>24</v>
      </c>
      <c r="C937" s="3" t="str">
        <f>"TFC000003602"</f>
        <v>TFC000003602</v>
      </c>
      <c r="D937" s="3" t="str">
        <f>"F800-21-0192-(AR 2.3)"</f>
        <v>F800-21-0192-(AR 2.3)</v>
      </c>
      <c r="E937" s="3" t="str">
        <f>"Secret pizza party"</f>
        <v>Secret pizza party</v>
      </c>
      <c r="F937" s="3" t="str">
        <f>"by Adam Rubin ; illustrated by Daniel Salmieri"</f>
        <v>by Adam Rubin ; illustrated by Daniel Salmieri</v>
      </c>
      <c r="G937" s="3" t="str">
        <f>"Dial Books for Young Readers"</f>
        <v>Dial Books for Young Readers</v>
      </c>
      <c r="H937" s="2" t="str">
        <f>"2013"</f>
        <v>2013</v>
      </c>
      <c r="I937" s="3" t="str">
        <f>""</f>
        <v/>
      </c>
    </row>
    <row r="938" spans="1:9" x14ac:dyDescent="0.3">
      <c r="A938" s="2">
        <v>937</v>
      </c>
      <c r="B938" s="4" t="s">
        <v>24</v>
      </c>
      <c r="C938" s="3" t="str">
        <f>"TFC000003603"</f>
        <v>TFC000003603</v>
      </c>
      <c r="D938" s="3" t="str">
        <f>"F800-21-0193-(AR 2.3)"</f>
        <v>F800-21-0193-(AR 2.3)</v>
      </c>
      <c r="E938" s="3" t="str">
        <f>"There's a nightmare in my closet"</f>
        <v>There's a nightmare in my closet</v>
      </c>
      <c r="F938" s="3" t="str">
        <f>"written and illustrated by Mercer Mayer"</f>
        <v>written and illustrated by Mercer Mayer</v>
      </c>
      <c r="G938" s="3" t="str">
        <f>"Puffin Books"</f>
        <v>Puffin Books</v>
      </c>
      <c r="H938" s="2" t="str">
        <f>"1968"</f>
        <v>1968</v>
      </c>
      <c r="I938" s="3" t="str">
        <f>""</f>
        <v/>
      </c>
    </row>
    <row r="939" spans="1:9" x14ac:dyDescent="0.3">
      <c r="A939" s="2">
        <v>938</v>
      </c>
      <c r="B939" s="4" t="s">
        <v>24</v>
      </c>
      <c r="C939" s="3" t="str">
        <f>"TFC000003696"</f>
        <v>TFC000003696</v>
      </c>
      <c r="D939" s="3" t="str">
        <f>"F800-21-0194-(AR 2.3)"</f>
        <v>F800-21-0194-(AR 2.3)</v>
      </c>
      <c r="E939" s="3" t="str">
        <f>"Me &amp; Mama"</f>
        <v>Me &amp; Mama</v>
      </c>
      <c r="F939" s="3" t="str">
        <f>"by Cozbi A. Cabrera"</f>
        <v>by Cozbi A. Cabrera</v>
      </c>
      <c r="G939" s="3" t="str">
        <f>"Simon &amp; Schuster Books for Young Readers"</f>
        <v>Simon &amp; Schuster Books for Young Readers</v>
      </c>
      <c r="H939" s="2" t="str">
        <f>"2020"</f>
        <v>2020</v>
      </c>
      <c r="I939" s="3" t="str">
        <f>""</f>
        <v/>
      </c>
    </row>
    <row r="940" spans="1:9" x14ac:dyDescent="0.3">
      <c r="A940" s="2">
        <v>939</v>
      </c>
      <c r="B940" s="4" t="s">
        <v>24</v>
      </c>
      <c r="C940" s="3" t="str">
        <f>"TFC000003709"</f>
        <v>TFC000003709</v>
      </c>
      <c r="D940" s="3" t="str">
        <f>"F800-21-0195-(AR 2.3)"</f>
        <v>F800-21-0195-(AR 2.3)</v>
      </c>
      <c r="E940" s="3" t="str">
        <f>"Drama"</f>
        <v>Drama</v>
      </c>
      <c r="F940" s="3" t="str">
        <f>"by Raina Telgemeier ; with color by Gurihiru"</f>
        <v>by Raina Telgemeier ; with color by Gurihiru</v>
      </c>
      <c r="G940" s="3" t="str">
        <f>"Scholastic"</f>
        <v>Scholastic</v>
      </c>
      <c r="H940" s="2" t="str">
        <f>"2012"</f>
        <v>2012</v>
      </c>
      <c r="I940" s="3" t="str">
        <f>""</f>
        <v/>
      </c>
    </row>
    <row r="941" spans="1:9" x14ac:dyDescent="0.3">
      <c r="A941" s="2">
        <v>940</v>
      </c>
      <c r="B941" s="4" t="s">
        <v>24</v>
      </c>
      <c r="C941" s="3" t="str">
        <f>"TFC000003773"</f>
        <v>TFC000003773</v>
      </c>
      <c r="D941" s="3" t="str">
        <f>"F800-21-0196-(AR 2.3)"</f>
        <v>F800-21-0196-(AR 2.3)</v>
      </c>
      <c r="E941" s="3" t="str">
        <f>"Outside in"</f>
        <v>Outside in</v>
      </c>
      <c r="F941" s="3" t="str">
        <f>"by Deborah Underwood ; illustrated by Cindy Derby"</f>
        <v>by Deborah Underwood ; illustrated by Cindy Derby</v>
      </c>
      <c r="G941" s="3" t="str">
        <f>"Houghton Mifflin Harcourt"</f>
        <v>Houghton Mifflin Harcourt</v>
      </c>
      <c r="H941" s="2" t="str">
        <f>"2020"</f>
        <v>2020</v>
      </c>
      <c r="I941" s="3" t="str">
        <f>""</f>
        <v/>
      </c>
    </row>
    <row r="942" spans="1:9" x14ac:dyDescent="0.3">
      <c r="A942" s="2">
        <v>941</v>
      </c>
      <c r="B942" s="4" t="s">
        <v>24</v>
      </c>
      <c r="C942" s="3" t="str">
        <f>"TFC000003854"</f>
        <v>TFC000003854</v>
      </c>
      <c r="D942" s="3" t="str">
        <f>"F800-21-0199-(AR 2.3)"</f>
        <v>F800-21-0199-(AR 2.3)</v>
      </c>
      <c r="E942" s="3" t="str">
        <f>"Grumpy monkey party time!"</f>
        <v>Grumpy monkey party time!</v>
      </c>
      <c r="F942" s="3" t="str">
        <f>"by Suzanne Lang, illustrated by Max Lang"</f>
        <v>by Suzanne Lang, illustrated by Max Lang</v>
      </c>
      <c r="G942" s="3" t="str">
        <f>"Random House"</f>
        <v>Random House</v>
      </c>
      <c r="H942" s="2" t="str">
        <f>"2019"</f>
        <v>2019</v>
      </c>
      <c r="I942" s="3" t="str">
        <f>""</f>
        <v/>
      </c>
    </row>
    <row r="943" spans="1:9" x14ac:dyDescent="0.3">
      <c r="A943" s="2">
        <v>942</v>
      </c>
      <c r="B943" s="4" t="s">
        <v>24</v>
      </c>
      <c r="C943" s="3" t="str">
        <f>"TFC000003855"</f>
        <v>TFC000003855</v>
      </c>
      <c r="D943" s="3" t="str">
        <f>"F800-21-0200-(AR 2.3)"</f>
        <v>F800-21-0200-(AR 2.3)</v>
      </c>
      <c r="E943" s="3" t="str">
        <f>"Duck and Hippo in the rainstorm"</f>
        <v>Duck and Hippo in the rainstorm</v>
      </c>
      <c r="F943" s="3" t="str">
        <f>"by Jonathan London, illustrated by Andrew Joyner"</f>
        <v>by Jonathan London, illustrated by Andrew Joyner</v>
      </c>
      <c r="G943" s="3" t="str">
        <f>"Two Lions"</f>
        <v>Two Lions</v>
      </c>
      <c r="H943" s="2" t="str">
        <f>"2017"</f>
        <v>2017</v>
      </c>
      <c r="I943" s="3" t="str">
        <f>""</f>
        <v/>
      </c>
    </row>
    <row r="944" spans="1:9" x14ac:dyDescent="0.3">
      <c r="A944" s="2">
        <v>943</v>
      </c>
      <c r="B944" s="4" t="s">
        <v>24</v>
      </c>
      <c r="C944" s="3" t="str">
        <f>"TFC000003933"</f>
        <v>TFC000003933</v>
      </c>
      <c r="D944" s="3" t="str">
        <f>"F800-21-0207-(AR 2.3)"</f>
        <v>F800-21-0207-(AR 2.3)</v>
      </c>
      <c r="E944" s="3" t="str">
        <f>"There's a ghost in this house"</f>
        <v>There's a ghost in this house</v>
      </c>
      <c r="F944" s="3" t="str">
        <f>"by Oliver Jeffers"</f>
        <v>by Oliver Jeffers</v>
      </c>
      <c r="G944" s="3" t="str">
        <f>"HarperCollins Children's Books"</f>
        <v>HarperCollins Children's Books</v>
      </c>
      <c r="H944" s="2" t="str">
        <f>"2021"</f>
        <v>2021</v>
      </c>
      <c r="I944" s="3" t="str">
        <f>""</f>
        <v/>
      </c>
    </row>
    <row r="945" spans="1:9" x14ac:dyDescent="0.3">
      <c r="A945" s="2">
        <v>944</v>
      </c>
      <c r="B945" s="4" t="s">
        <v>24</v>
      </c>
      <c r="C945" s="3" t="str">
        <f>"TFC000003962"</f>
        <v>TFC000003962</v>
      </c>
      <c r="D945" s="3" t="str">
        <f>"F400-21-0185-(AR 2.3)"</f>
        <v>F400-21-0185-(AR 2.3)</v>
      </c>
      <c r="E945" s="3" t="str">
        <f>"Fun facts about big cats"</f>
        <v>Fun facts about big cats</v>
      </c>
      <c r="F945" s="3" t="str">
        <f>"by Julie Murray"</f>
        <v>by Julie Murray</v>
      </c>
      <c r="G945" s="3" t="str">
        <f>"Abdo Zoom"</f>
        <v>Abdo Zoom</v>
      </c>
      <c r="H945" s="2" t="str">
        <f>"2022"</f>
        <v>2022</v>
      </c>
      <c r="I945" s="3" t="str">
        <f>""</f>
        <v/>
      </c>
    </row>
    <row r="946" spans="1:9" x14ac:dyDescent="0.3">
      <c r="A946" s="2">
        <v>945</v>
      </c>
      <c r="B946" s="4" t="s">
        <v>24</v>
      </c>
      <c r="C946" s="3" t="str">
        <f>"TFC000003963"</f>
        <v>TFC000003963</v>
      </c>
      <c r="D946" s="3" t="str">
        <f>"F800-21-0209-(AR 2.3)"</f>
        <v>F800-21-0209-(AR 2.3)</v>
      </c>
      <c r="E946" s="3" t="str">
        <f>"Every Little Letter"</f>
        <v>Every Little Letter</v>
      </c>
      <c r="F946" s="3" t="str">
        <f>"by Deborah Underwood, illustrated by Joy Hwang Ruiz"</f>
        <v>by Deborah Underwood, illustrated by Joy Hwang Ruiz</v>
      </c>
      <c r="G946" s="3" t="str">
        <f>"Dial Books"</f>
        <v>Dial Books</v>
      </c>
      <c r="H946" s="2" t="str">
        <f>"2020"</f>
        <v>2020</v>
      </c>
      <c r="I946" s="3" t="str">
        <f>""</f>
        <v/>
      </c>
    </row>
    <row r="947" spans="1:9" x14ac:dyDescent="0.3">
      <c r="A947" s="2">
        <v>946</v>
      </c>
      <c r="B947" s="4" t="s">
        <v>24</v>
      </c>
      <c r="C947" s="3" t="str">
        <f>"TFC000003964"</f>
        <v>TFC000003964</v>
      </c>
      <c r="D947" s="3" t="str">
        <f>"F800-21-0210-(AR 2.3)"</f>
        <v>F800-21-0210-(AR 2.3)</v>
      </c>
      <c r="E947" s="3" t="str">
        <f>"(The)Good, the bad, and the spooky"</f>
        <v>(The)Good, the bad, and the spooky</v>
      </c>
      <c r="F947" s="3" t="str">
        <f>"written by Jory John, cover illustration by Pete Oswald"</f>
        <v>written by Jory John, cover illustration by Pete Oswald</v>
      </c>
      <c r="G947" s="3" t="str">
        <f>"Harper Collins"</f>
        <v>Harper Collins</v>
      </c>
      <c r="H947" s="2" t="str">
        <f>"2021"</f>
        <v>2021</v>
      </c>
      <c r="I947" s="3" t="str">
        <f>""</f>
        <v/>
      </c>
    </row>
    <row r="948" spans="1:9" x14ac:dyDescent="0.3">
      <c r="A948" s="2">
        <v>947</v>
      </c>
      <c r="B948" s="4" t="s">
        <v>24</v>
      </c>
      <c r="C948" s="3" t="str">
        <f>"TFC000004140"</f>
        <v>TFC000004140</v>
      </c>
      <c r="D948" s="3" t="str">
        <f>"F800-21-0212-(AR 2.3)"</f>
        <v>F800-21-0212-(AR 2.3)</v>
      </c>
      <c r="E948" s="3" t="str">
        <f>"Anya's ghost"</f>
        <v>Anya's ghost</v>
      </c>
      <c r="F948" s="3" t="str">
        <f>"Vera Brosgol"</f>
        <v>Vera Brosgol</v>
      </c>
      <c r="G948" s="3" t="str">
        <f>"First Second"</f>
        <v>First Second</v>
      </c>
      <c r="H948" s="2" t="str">
        <f>"2011"</f>
        <v>2011</v>
      </c>
      <c r="I948" s="3" t="str">
        <f>""</f>
        <v/>
      </c>
    </row>
    <row r="949" spans="1:9" x14ac:dyDescent="0.3">
      <c r="A949" s="2">
        <v>948</v>
      </c>
      <c r="B949" s="4" t="s">
        <v>24</v>
      </c>
      <c r="C949" s="3" t="str">
        <f>"TFC000004141"</f>
        <v>TFC000004141</v>
      </c>
      <c r="D949" s="3" t="str">
        <f>"F800-21-0213-(AR 2.3)"</f>
        <v>F800-21-0213-(AR 2.3)</v>
      </c>
      <c r="E949" s="3" t="str">
        <f>"Lucky stars"</f>
        <v>Lucky stars</v>
      </c>
      <c r="F949" s="3" t="str">
        <f>"by Aron Nels Steinke"</f>
        <v>by Aron Nels Steinke</v>
      </c>
      <c r="G949" s="3" t="str">
        <f>"Graphix:Scholastic"</f>
        <v>Graphix:Scholastic</v>
      </c>
      <c r="H949" s="2" t="str">
        <f>"2019"</f>
        <v>2019</v>
      </c>
      <c r="I949" s="3" t="str">
        <f>""</f>
        <v/>
      </c>
    </row>
    <row r="950" spans="1:9" x14ac:dyDescent="0.3">
      <c r="A950" s="2">
        <v>949</v>
      </c>
      <c r="B950" s="4" t="s">
        <v>24</v>
      </c>
      <c r="C950" s="3" t="str">
        <f>"TFC000004405"</f>
        <v>TFC000004405</v>
      </c>
      <c r="D950" s="3" t="str">
        <f>"F800-22-0214-(AR 2.3)"</f>
        <v>F800-22-0214-(AR 2.3)</v>
      </c>
      <c r="E950" s="3" t="str">
        <f>"Love Monster and the perfect present"</f>
        <v>Love Monster and the perfect present</v>
      </c>
      <c r="F950" s="3" t="str">
        <f>"by Rachel Bright"</f>
        <v>by Rachel Bright</v>
      </c>
      <c r="G950" s="3" t="str">
        <f>"Farrar Straus Giroux"</f>
        <v>Farrar Straus Giroux</v>
      </c>
      <c r="H950" s="2" t="str">
        <f>"2013"</f>
        <v>2013</v>
      </c>
      <c r="I950" s="3" t="str">
        <f>""</f>
        <v/>
      </c>
    </row>
    <row r="951" spans="1:9" x14ac:dyDescent="0.3">
      <c r="A951" s="2">
        <v>950</v>
      </c>
      <c r="B951" s="4" t="s">
        <v>24</v>
      </c>
      <c r="C951" s="3" t="str">
        <f>"TFC000004284"</f>
        <v>TFC000004284</v>
      </c>
      <c r="D951" s="3" t="str">
        <f>"F800-22-0004-(AR 2.3)"</f>
        <v>F800-22-0004-(AR 2.3)</v>
      </c>
      <c r="E951" s="3" t="str">
        <f>"Press Start!. 7, Robo-rabbit boy, go!"</f>
        <v>Press Start!. 7, Robo-rabbit boy, go!</v>
      </c>
      <c r="F951" s="3" t="str">
        <f>"by Thomas Flintham"</f>
        <v>by Thomas Flintham</v>
      </c>
      <c r="G951" s="3" t="str">
        <f>"Scholastic"</f>
        <v>Scholastic</v>
      </c>
      <c r="H951" s="2" t="str">
        <f>"2019"</f>
        <v>2019</v>
      </c>
      <c r="I951" s="3" t="str">
        <f>""</f>
        <v/>
      </c>
    </row>
    <row r="952" spans="1:9" x14ac:dyDescent="0.3">
      <c r="A952" s="2">
        <v>951</v>
      </c>
      <c r="B952" s="4" t="s">
        <v>24</v>
      </c>
      <c r="C952" s="3" t="str">
        <f>"TFC000004402"</f>
        <v>TFC000004402</v>
      </c>
      <c r="D952" s="3" t="str">
        <f>"F800-22-0211-(AR 2.3)"</f>
        <v>F800-22-0211-(AR 2.3)</v>
      </c>
      <c r="E952" s="3" t="str">
        <f>"Charlie &amp; Mouse &amp; Grumpy"</f>
        <v>Charlie &amp; Mouse &amp; Grumpy</v>
      </c>
      <c r="F952" s="3" t="str">
        <f>"by Laurel Snyder, illustrated by Emily Hughes"</f>
        <v>by Laurel Snyder, illustrated by Emily Hughes</v>
      </c>
      <c r="G952" s="3" t="str">
        <f>"Chronicle Books"</f>
        <v>Chronicle Books</v>
      </c>
      <c r="H952" s="2" t="str">
        <f>"2017"</f>
        <v>2017</v>
      </c>
      <c r="I952" s="3" t="str">
        <f>""</f>
        <v/>
      </c>
    </row>
    <row r="953" spans="1:9" x14ac:dyDescent="0.3">
      <c r="A953" s="2">
        <v>952</v>
      </c>
      <c r="B953" s="4" t="s">
        <v>24</v>
      </c>
      <c r="C953" s="3" t="str">
        <f>"TFC000004403"</f>
        <v>TFC000004403</v>
      </c>
      <c r="D953" s="3" t="str">
        <f>"F800-22-0212-(AR 2.3)"</f>
        <v>F800-22-0212-(AR 2.3)</v>
      </c>
      <c r="E953" s="3" t="str">
        <f>"Glasses : Who needs 'em?"</f>
        <v>Glasses : Who needs 'em?</v>
      </c>
      <c r="F953" s="3" t="str">
        <f>"by Lane Smith"</f>
        <v>by Lane Smith</v>
      </c>
      <c r="G953" s="3" t="str">
        <f>"Scholastic"</f>
        <v>Scholastic</v>
      </c>
      <c r="H953" s="2" t="str">
        <f>"2006"</f>
        <v>2006</v>
      </c>
      <c r="I953" s="3" t="str">
        <f>""</f>
        <v/>
      </c>
    </row>
    <row r="954" spans="1:9" x14ac:dyDescent="0.3">
      <c r="A954" s="2">
        <v>953</v>
      </c>
      <c r="B954" s="4" t="s">
        <v>24</v>
      </c>
      <c r="C954" s="3" t="str">
        <f>"TFC000004404"</f>
        <v>TFC000004404</v>
      </c>
      <c r="D954" s="3" t="str">
        <f>"F800-22-0213-(AR 2.3)"</f>
        <v>F800-22-0213-(AR 2.3)</v>
      </c>
      <c r="E954" s="3" t="str">
        <f>"Hedgehugs and the hattiepillar"</f>
        <v>Hedgehugs and the hattiepillar</v>
      </c>
      <c r="F954" s="3" t="str">
        <f>"by Steve Wilson, illustrated by Lucy Tapper"</f>
        <v>by Steve Wilson, illustrated by Lucy Tapper</v>
      </c>
      <c r="G954" s="3" t="str">
        <f>"Henry Holt and Co"</f>
        <v>Henry Holt and Co</v>
      </c>
      <c r="H954" s="2" t="str">
        <f>"2016"</f>
        <v>2016</v>
      </c>
      <c r="I954" s="3" t="str">
        <f>""</f>
        <v/>
      </c>
    </row>
    <row r="955" spans="1:9" x14ac:dyDescent="0.3">
      <c r="A955" s="2">
        <v>954</v>
      </c>
      <c r="B955" s="4" t="s">
        <v>24</v>
      </c>
      <c r="C955" s="3" t="str">
        <f>"TFC000004406"</f>
        <v>TFC000004406</v>
      </c>
      <c r="D955" s="3" t="str">
        <f>"F800-22-0215-(AR 2.3)"</f>
        <v>F800-22-0215-(AR 2.3)</v>
      </c>
      <c r="E955" s="3" t="str">
        <f>"(The)Ugly Pumpkin"</f>
        <v>(The)Ugly Pumpkin</v>
      </c>
      <c r="F955" s="3" t="str">
        <f>"by Dave Horowitz"</f>
        <v>by Dave Horowitz</v>
      </c>
      <c r="G955" s="3" t="str">
        <f>"Puffin"</f>
        <v>Puffin</v>
      </c>
      <c r="H955" s="2" t="str">
        <f>"2008"</f>
        <v>2008</v>
      </c>
      <c r="I955" s="3" t="str">
        <f>""</f>
        <v/>
      </c>
    </row>
    <row r="956" spans="1:9" x14ac:dyDescent="0.3">
      <c r="A956" s="2">
        <v>955</v>
      </c>
      <c r="B956" s="4" t="s">
        <v>24</v>
      </c>
      <c r="C956" s="3" t="str">
        <f>"TFC000004407"</f>
        <v>TFC000004407</v>
      </c>
      <c r="D956" s="3" t="str">
        <f>"F800-22-0216-(AR 2.3)"</f>
        <v>F800-22-0216-(AR 2.3)</v>
      </c>
      <c r="E956" s="3" t="str">
        <f>"To the sea"</f>
        <v>To the sea</v>
      </c>
      <c r="F956" s="3" t="str">
        <f>"by Cale Atkinson"</f>
        <v>by Cale Atkinson</v>
      </c>
      <c r="G956" s="3" t="str">
        <f>"Disney-Hyperion"</f>
        <v>Disney-Hyperion</v>
      </c>
      <c r="H956" s="2" t="str">
        <f>"2015"</f>
        <v>2015</v>
      </c>
      <c r="I956" s="3" t="str">
        <f>""</f>
        <v/>
      </c>
    </row>
    <row r="957" spans="1:9" x14ac:dyDescent="0.3">
      <c r="A957" s="2">
        <v>956</v>
      </c>
      <c r="B957" s="4" t="s">
        <v>24</v>
      </c>
      <c r="C957" s="3" t="str">
        <f>"TFC000004408"</f>
        <v>TFC000004408</v>
      </c>
      <c r="D957" s="3" t="str">
        <f>"F800-22-0217-(AR 2.3)"</f>
        <v>F800-22-0217-(AR 2.3)</v>
      </c>
      <c r="E957" s="3" t="str">
        <f>"You and me and the wishing tree"</f>
        <v>You and me and the wishing tree</v>
      </c>
      <c r="F957" s="3" t="str">
        <f>"by Nancy Tillman"</f>
        <v>by Nancy Tillman</v>
      </c>
      <c r="G957" s="3" t="str">
        <f>"Feiwel and Friends"</f>
        <v>Feiwel and Friends</v>
      </c>
      <c r="H957" s="2" t="str">
        <f>"2016"</f>
        <v>2016</v>
      </c>
      <c r="I957" s="3" t="str">
        <f>""</f>
        <v/>
      </c>
    </row>
    <row r="958" spans="1:9" x14ac:dyDescent="0.3">
      <c r="A958" s="2">
        <v>957</v>
      </c>
      <c r="B958" s="4" t="s">
        <v>24</v>
      </c>
      <c r="C958" s="3" t="str">
        <f>"TFC000004666"</f>
        <v>TFC000004666</v>
      </c>
      <c r="D958" s="3" t="str">
        <f>"F800-22-0475-(AR2.3)"</f>
        <v>F800-22-0475-(AR2.3)</v>
      </c>
      <c r="E958" s="3" t="str">
        <f>"Banana Fox and the Book-Eating Robot"</f>
        <v>Banana Fox and the Book-Eating Robot</v>
      </c>
      <c r="F958" s="3" t="str">
        <f>"by James Kochalka"</f>
        <v>by James Kochalka</v>
      </c>
      <c r="G958" s="3" t="str">
        <f>"Graphix(Scholastic)"</f>
        <v>Graphix(Scholastic)</v>
      </c>
      <c r="H958" s="2" t="str">
        <f>"2021"</f>
        <v>2021</v>
      </c>
      <c r="I958" s="3" t="str">
        <f>""</f>
        <v/>
      </c>
    </row>
    <row r="959" spans="1:9" x14ac:dyDescent="0.3">
      <c r="A959" s="2">
        <v>958</v>
      </c>
      <c r="B959" s="4" t="s">
        <v>24</v>
      </c>
      <c r="C959" s="3" t="str">
        <f>"TFC000004669"</f>
        <v>TFC000004669</v>
      </c>
      <c r="D959" s="3" t="str">
        <f>"F800-22-0478-(AR2.3)"</f>
        <v>F800-22-0478-(AR2.3)</v>
      </c>
      <c r="E959" s="3" t="str">
        <f>"Fluffy McWhiskers Cuteness Explosion"</f>
        <v>Fluffy McWhiskers Cuteness Explosion</v>
      </c>
      <c r="F959" s="3" t="str">
        <f>"by Stephen W. Martin, Dan Tavis"</f>
        <v>by Stephen W. Martin, Dan Tavis</v>
      </c>
      <c r="G959" s="3" t="str">
        <f>"Margaret K. McElderry Books"</f>
        <v>Margaret K. McElderry Books</v>
      </c>
      <c r="H959" s="2" t="str">
        <f>"2021"</f>
        <v>2021</v>
      </c>
      <c r="I959" s="3" t="str">
        <f>""</f>
        <v/>
      </c>
    </row>
    <row r="960" spans="1:9" x14ac:dyDescent="0.3">
      <c r="A960" s="2">
        <v>959</v>
      </c>
      <c r="B960" s="4" t="s">
        <v>24</v>
      </c>
      <c r="C960" s="3" t="str">
        <f>"TFC000004436"</f>
        <v>TFC000004436</v>
      </c>
      <c r="D960" s="3" t="str">
        <f>"F800-22-0245-(AR2.3)"</f>
        <v>F800-22-0245-(AR2.3)</v>
      </c>
      <c r="E960" s="3" t="str">
        <f>"Superman of Smallville"</f>
        <v>Superman of Smallville</v>
      </c>
      <c r="F960" s="3" t="str">
        <f>"Art Baltazar, Franco Aureliani"</f>
        <v>Art Baltazar, Franco Aureliani</v>
      </c>
      <c r="G960" s="3" t="str">
        <f>"Dc Zoom"</f>
        <v>Dc Zoom</v>
      </c>
      <c r="H960" s="2" t="str">
        <f>"2019"</f>
        <v>2019</v>
      </c>
      <c r="I960" s="3" t="str">
        <f>""</f>
        <v/>
      </c>
    </row>
    <row r="961" spans="1:9" x14ac:dyDescent="0.3">
      <c r="A961" s="2">
        <v>960</v>
      </c>
      <c r="B961" s="4" t="s">
        <v>24</v>
      </c>
      <c r="C961" s="3" t="str">
        <f>"TFC000004435"</f>
        <v>TFC000004435</v>
      </c>
      <c r="D961" s="3" t="str">
        <f>"F800-22-0244-(AR2.3)"</f>
        <v>F800-22-0244-(AR2.3)</v>
      </c>
      <c r="E961" s="3" t="str">
        <f>"Bedtime jitters"</f>
        <v>Bedtime jitters</v>
      </c>
      <c r="F961" s="3" t="str">
        <f>"by Norm Feuti"</f>
        <v>by Norm Feuti</v>
      </c>
      <c r="G961" s="3" t="str">
        <f>"HarperAlley"</f>
        <v>HarperAlley</v>
      </c>
      <c r="H961" s="2" t="str">
        <f>"2021"</f>
        <v>2021</v>
      </c>
      <c r="I961" s="3" t="str">
        <f>""</f>
        <v/>
      </c>
    </row>
    <row r="962" spans="1:9" x14ac:dyDescent="0.3">
      <c r="A962" s="2">
        <v>961</v>
      </c>
      <c r="B962" s="4" t="s">
        <v>24</v>
      </c>
      <c r="C962" s="3" t="str">
        <f>"TFC000004703"</f>
        <v>TFC000004703</v>
      </c>
      <c r="D962" s="3" t="str">
        <f>"F800-22-0512-(AR2.3)"</f>
        <v>F800-22-0512-(AR2.3)</v>
      </c>
      <c r="E962" s="3" t="str">
        <f>"Just Pretend"</f>
        <v>Just Pretend</v>
      </c>
      <c r="F962" s="3" t="str">
        <f>"by Tori Sharp"</f>
        <v>by Tori Sharp</v>
      </c>
      <c r="G962" s="3" t="str">
        <f>"Little, Brown Books for Young Readers"</f>
        <v>Little, Brown Books for Young Readers</v>
      </c>
      <c r="H962" s="2" t="str">
        <f>"2021"</f>
        <v>2021</v>
      </c>
      <c r="I962" s="3" t="str">
        <f>""</f>
        <v/>
      </c>
    </row>
    <row r="963" spans="1:9" x14ac:dyDescent="0.3">
      <c r="A963" s="2">
        <v>962</v>
      </c>
      <c r="B963" s="4" t="s">
        <v>24</v>
      </c>
      <c r="C963" s="3" t="str">
        <f>"TFC000004668"</f>
        <v>TFC000004668</v>
      </c>
      <c r="D963" s="3" t="str">
        <f>"F500-22-0477-(AR2.3)"</f>
        <v>F500-22-0477-(AR2.3)</v>
      </c>
      <c r="E963" s="3" t="str">
        <f>"City Buses"</f>
        <v>City Buses</v>
      </c>
      <c r="F963" s="3" t="str">
        <f>"by Nancy Dickmann"</f>
        <v>by Nancy Dickmann</v>
      </c>
      <c r="G963" s="3" t="str">
        <f>"Pebble Books"</f>
        <v>Pebble Books</v>
      </c>
      <c r="H963" s="2" t="str">
        <f>"2021"</f>
        <v>2021</v>
      </c>
      <c r="I963" s="3" t="str">
        <f>""</f>
        <v/>
      </c>
    </row>
    <row r="964" spans="1:9" x14ac:dyDescent="0.3">
      <c r="A964" s="2">
        <v>963</v>
      </c>
      <c r="B964" s="4" t="s">
        <v>24</v>
      </c>
      <c r="C964" s="3" t="str">
        <f>"TFC000004667"</f>
        <v>TFC000004667</v>
      </c>
      <c r="D964" s="3" t="str">
        <f>"F800-22-0476-(AR2.3)"</f>
        <v>F800-22-0476-(AR2.3)</v>
      </c>
      <c r="E964" s="3" t="str">
        <f>"Bike and Trike"</f>
        <v>Bike and Trike</v>
      </c>
      <c r="F964" s="3" t="str">
        <f>"by Elizabeth Verdick"</f>
        <v>by Elizabeth Verdick</v>
      </c>
      <c r="G964" s="3" t="str">
        <f>"Simon &amp; Schuster"</f>
        <v>Simon &amp; Schuster</v>
      </c>
      <c r="H964" s="2" t="str">
        <f>"2020"</f>
        <v>2020</v>
      </c>
      <c r="I964" s="3" t="str">
        <f>""</f>
        <v/>
      </c>
    </row>
    <row r="965" spans="1:9" x14ac:dyDescent="0.3">
      <c r="A965" s="2">
        <v>964</v>
      </c>
      <c r="B965" s="4" t="s">
        <v>24</v>
      </c>
      <c r="C965" s="3" t="str">
        <f>"TFC000004670"</f>
        <v>TFC000004670</v>
      </c>
      <c r="D965" s="3" t="str">
        <f>"F800-22-0479-(AR2.3)"</f>
        <v>F800-22-0479-(AR2.3)</v>
      </c>
      <c r="E965" s="3" t="str">
        <f>"It's so quiet : a not-quite-going-to-bed book"</f>
        <v>It's so quiet : a not-quite-going-to-bed book</v>
      </c>
      <c r="F965" s="3" t="str">
        <f>"by Sherri Duskey Rinker, illustrated by Tony Fucile"</f>
        <v>by Sherri Duskey Rinker, illustrated by Tony Fucile</v>
      </c>
      <c r="G965" s="3" t="str">
        <f>"Chronicle Books"</f>
        <v>Chronicle Books</v>
      </c>
      <c r="H965" s="2" t="str">
        <f>"2021"</f>
        <v>2021</v>
      </c>
      <c r="I965" s="3" t="str">
        <f>""</f>
        <v/>
      </c>
    </row>
    <row r="966" spans="1:9" x14ac:dyDescent="0.3">
      <c r="A966" s="2">
        <v>965</v>
      </c>
      <c r="B966" s="4" t="s">
        <v>24</v>
      </c>
      <c r="C966" s="3" t="str">
        <f>"TFC000004671"</f>
        <v>TFC000004671</v>
      </c>
      <c r="D966" s="3" t="str">
        <f>"F800-22-0480-(AR2.3)"</f>
        <v>F800-22-0480-(AR2.3)</v>
      </c>
      <c r="E966" s="3" t="str">
        <f>"There's a superhero in your book"</f>
        <v>There's a superhero in your book</v>
      </c>
      <c r="F966" s="3" t="str">
        <f>"written by Tom Fletcher, illustrated by Greg Abbott"</f>
        <v>written by Tom Fletcher, illustrated by Greg Abbott</v>
      </c>
      <c r="G966" s="3" t="str">
        <f>"Random House Children's Books"</f>
        <v>Random House Children's Books</v>
      </c>
      <c r="H966" s="2" t="str">
        <f>"2021"</f>
        <v>2021</v>
      </c>
      <c r="I966" s="3" t="str">
        <f>""</f>
        <v/>
      </c>
    </row>
    <row r="967" spans="1:9" x14ac:dyDescent="0.3">
      <c r="A967" s="2">
        <v>966</v>
      </c>
      <c r="B967" s="4" t="s">
        <v>24</v>
      </c>
      <c r="C967" s="3" t="str">
        <f>"TFC000004672"</f>
        <v>TFC000004672</v>
      </c>
      <c r="D967" s="3" t="str">
        <f>"F500-22-0481-(AR2.3)"</f>
        <v>F500-22-0481-(AR2.3)</v>
      </c>
      <c r="E967" s="3" t="str">
        <f>"Tow Trucks"</f>
        <v>Tow Trucks</v>
      </c>
      <c r="F967" s="3" t="str">
        <f>"by Nancy Dickmann"</f>
        <v>by Nancy Dickmann</v>
      </c>
      <c r="G967" s="3" t="str">
        <f>"Pebble Books"</f>
        <v>Pebble Books</v>
      </c>
      <c r="H967" s="2" t="str">
        <f>"2021"</f>
        <v>2021</v>
      </c>
      <c r="I967" s="3" t="str">
        <f>""</f>
        <v/>
      </c>
    </row>
    <row r="968" spans="1:9" x14ac:dyDescent="0.3">
      <c r="A968" s="2">
        <v>967</v>
      </c>
      <c r="B968" s="4" t="s">
        <v>24</v>
      </c>
      <c r="C968" s="3" t="str">
        <f>"TFC000004702"</f>
        <v>TFC000004702</v>
      </c>
      <c r="D968" s="3" t="str">
        <f>"F800-22-0511-(AR2.3)"</f>
        <v>F800-22-0511-(AR2.3)</v>
      </c>
      <c r="E968" s="3" t="str">
        <f>"Treasure in the Lake"</f>
        <v>Treasure in the Lake</v>
      </c>
      <c r="F968" s="3" t="str">
        <f>"by Jason Pamment"</f>
        <v>by Jason Pamment</v>
      </c>
      <c r="G968" s="3" t="str">
        <f>"Harperalley"</f>
        <v>Harperalley</v>
      </c>
      <c r="H968" s="2" t="str">
        <f>"2021"</f>
        <v>2021</v>
      </c>
      <c r="I968" s="3" t="str">
        <f>""</f>
        <v/>
      </c>
    </row>
    <row r="969" spans="1:9" x14ac:dyDescent="0.3">
      <c r="A969" s="2">
        <v>968</v>
      </c>
      <c r="B969" s="4" t="s">
        <v>24</v>
      </c>
      <c r="C969" s="3" t="str">
        <f>"TFC000004889"</f>
        <v>TFC000004889</v>
      </c>
      <c r="D969" s="3" t="str">
        <f>"F800-22-0619-(AR2.3)"</f>
        <v>F800-22-0619-(AR2.3)</v>
      </c>
      <c r="E969" s="3" t="str">
        <f>"Karen's Worst Day"</f>
        <v>Karen's Worst Day</v>
      </c>
      <c r="F969" s="3" t="str">
        <f>"by Ann M Martin"</f>
        <v>by Ann M Martin</v>
      </c>
      <c r="G969" s="3" t="str">
        <f>"Graphix"</f>
        <v>Graphix</v>
      </c>
      <c r="H969" s="2" t="str">
        <f>"2020"</f>
        <v>2020</v>
      </c>
      <c r="I969" s="3" t="str">
        <f>""</f>
        <v/>
      </c>
    </row>
    <row r="970" spans="1:9" x14ac:dyDescent="0.3">
      <c r="A970" s="2">
        <v>969</v>
      </c>
      <c r="B970" s="4" t="s">
        <v>24</v>
      </c>
      <c r="C970" s="3" t="str">
        <f>"TFC000004926"</f>
        <v>TFC000004926</v>
      </c>
      <c r="D970" s="3" t="str">
        <f>"F400-23-0030-(AR2.3)"</f>
        <v>F400-23-0030-(AR2.3)</v>
      </c>
      <c r="E970" s="3" t="str">
        <f>"Baby chickens"</f>
        <v>Baby chickens</v>
      </c>
      <c r="F970" s="3" t="str">
        <f>"by Martha London"</f>
        <v>by Martha London</v>
      </c>
      <c r="G970" s="3" t="str">
        <f>"Cody Koala"</f>
        <v>Cody Koala</v>
      </c>
      <c r="H970" s="2" t="str">
        <f>"2021"</f>
        <v>2021</v>
      </c>
      <c r="I970" s="3" t="str">
        <f>""</f>
        <v/>
      </c>
    </row>
    <row r="971" spans="1:9" x14ac:dyDescent="0.3">
      <c r="A971" s="2">
        <v>970</v>
      </c>
      <c r="B971" s="4" t="s">
        <v>24</v>
      </c>
      <c r="C971" s="3" t="str">
        <f>"TFC000000586"</f>
        <v>TFC000000586</v>
      </c>
      <c r="D971" s="3" t="str">
        <f>"F800-20-0640-1(AR 2.3)"</f>
        <v>F800-20-0640-1(AR 2.3)</v>
      </c>
      <c r="E971" s="3" t="str">
        <f>"(The)benenstain beans' class trip"</f>
        <v>(The)benenstain beans' class trip</v>
      </c>
      <c r="F971" s="3" t="str">
        <f>"Jan Berenstain, Mike Berenstain"</f>
        <v>Jan Berenstain, Mike Berenstain</v>
      </c>
      <c r="G971" s="3" t="str">
        <f>"HarperTrophy"</f>
        <v>HarperTrophy</v>
      </c>
      <c r="H971" s="2" t="str">
        <f>"2009"</f>
        <v>2009</v>
      </c>
      <c r="I971" s="3" t="str">
        <f>""</f>
        <v/>
      </c>
    </row>
    <row r="972" spans="1:9" x14ac:dyDescent="0.3">
      <c r="A972" s="2">
        <v>971</v>
      </c>
      <c r="B972" s="4" t="s">
        <v>24</v>
      </c>
      <c r="C972" s="3" t="str">
        <f>"TFC000000588"</f>
        <v>TFC000000588</v>
      </c>
      <c r="D972" s="3" t="str">
        <f>"F800-20-0642-1(AR 2.3)"</f>
        <v>F800-20-0642-1(AR 2.3)</v>
      </c>
      <c r="E972" s="3" t="str">
        <f>"Arthur lost in the museum"</f>
        <v>Arthur lost in the museum</v>
      </c>
      <c r="F972" s="3" t="str">
        <f>"by Marc Brown"</f>
        <v>by Marc Brown</v>
      </c>
      <c r="G972" s="3" t="str">
        <f>"Random House"</f>
        <v>Random House</v>
      </c>
      <c r="H972" s="2" t="str">
        <f>"2005"</f>
        <v>2005</v>
      </c>
      <c r="I972" s="3" t="str">
        <f>""</f>
        <v/>
      </c>
    </row>
    <row r="973" spans="1:9" x14ac:dyDescent="0.3">
      <c r="A973" s="2">
        <v>972</v>
      </c>
      <c r="B973" s="4" t="s">
        <v>24</v>
      </c>
      <c r="C973" s="3" t="str">
        <f>"TFC000000630"</f>
        <v>TFC000000630</v>
      </c>
      <c r="D973" s="3" t="str">
        <f>"F800-20-0684-1(AR 2.3)"</f>
        <v>F800-20-0684-1(AR 2.3)</v>
      </c>
      <c r="E973" s="3" t="str">
        <f>"Yasmin the teacher"</f>
        <v>Yasmin the teacher</v>
      </c>
      <c r="F973" s="3" t="str">
        <f>"written by Saadia Faruqi ; illustrated by Hatem Aly"</f>
        <v>written by Saadia Faruqi ; illustrated by Hatem Aly</v>
      </c>
      <c r="G973" s="3" t="str">
        <f>"Picture Window Books"</f>
        <v>Picture Window Books</v>
      </c>
      <c r="H973" s="2" t="str">
        <f>"2019"</f>
        <v>2019</v>
      </c>
      <c r="I973" s="3" t="str">
        <f>""</f>
        <v/>
      </c>
    </row>
    <row r="974" spans="1:9" x14ac:dyDescent="0.3">
      <c r="A974" s="2">
        <v>973</v>
      </c>
      <c r="B974" s="4" t="s">
        <v>24</v>
      </c>
      <c r="C974" s="3" t="str">
        <f>"TFC000000659"</f>
        <v>TFC000000659</v>
      </c>
      <c r="D974" s="3" t="str">
        <f>"F800-20-0713-1(AR 2.3)"</f>
        <v>F800-20-0713-1(AR 2.3)</v>
      </c>
      <c r="E974" s="3" t="str">
        <f>"Henry and Mudge and Annie's good move : the eighteenth book of their adventures"</f>
        <v>Henry and Mudge and Annie's good move : the eighteenth book of their adventures</v>
      </c>
      <c r="F974" s="3" t="str">
        <f>"story by Cynthia Rylant ; pictures by Sucie Stevenson"</f>
        <v>story by Cynthia Rylant ; pictures by Sucie Stevenson</v>
      </c>
      <c r="G974" s="3" t="str">
        <f>"Simon Spotlight"</f>
        <v>Simon Spotlight</v>
      </c>
      <c r="H974" s="2" t="str">
        <f>"2000"</f>
        <v>2000</v>
      </c>
      <c r="I974" s="3" t="str">
        <f>""</f>
        <v/>
      </c>
    </row>
    <row r="975" spans="1:9" x14ac:dyDescent="0.3">
      <c r="A975" s="2">
        <v>974</v>
      </c>
      <c r="B975" s="4" t="s">
        <v>24</v>
      </c>
      <c r="C975" s="3" t="str">
        <f>"TFC000003856"</f>
        <v>TFC000003856</v>
      </c>
      <c r="D975" s="3" t="str">
        <f>"F800-21-0201-1(AR 2.3)"</f>
        <v>F800-21-0201-1(AR 2.3)</v>
      </c>
      <c r="E975" s="3" t="str">
        <f>"Baby-sitters little sister. 1, Karen's witch"</f>
        <v>Baby-sitters little sister. 1, Karen's witch</v>
      </c>
      <c r="F975" s="3" t="str">
        <f>"a graphic novel by Katy Farina"</f>
        <v>a graphic novel by Katy Farina</v>
      </c>
      <c r="G975" s="3" t="str">
        <f>"GRAPHIX"</f>
        <v>GRAPHIX</v>
      </c>
      <c r="H975" s="2" t="str">
        <f>"2020"</f>
        <v>2020</v>
      </c>
      <c r="I975" s="3" t="str">
        <f>""</f>
        <v/>
      </c>
    </row>
    <row r="976" spans="1:9" x14ac:dyDescent="0.3">
      <c r="A976" s="2">
        <v>975</v>
      </c>
      <c r="B976" s="4" t="s">
        <v>24</v>
      </c>
      <c r="C976" s="3" t="str">
        <f>"TFC000003915"</f>
        <v>TFC000003915</v>
      </c>
      <c r="D976" s="3" t="str">
        <f>"F800-21-0205-1(AR 2.3)"</f>
        <v>F800-21-0205-1(AR 2.3)</v>
      </c>
      <c r="E976" s="3" t="str">
        <f>"Hilo. 1, The boy who crashed to Earth"</f>
        <v>Hilo. 1, The boy who crashed to Earth</v>
      </c>
      <c r="F976" s="3" t="str">
        <f>"by Judd Winick, color by Guy Major"</f>
        <v>by Judd Winick, color by Guy Major</v>
      </c>
      <c r="G976" s="3" t="str">
        <f>"Random House"</f>
        <v>Random House</v>
      </c>
      <c r="H976" s="2" t="str">
        <f>"2015"</f>
        <v>2015</v>
      </c>
      <c r="I976" s="3" t="str">
        <f>""</f>
        <v/>
      </c>
    </row>
    <row r="977" spans="1:9" x14ac:dyDescent="0.3">
      <c r="A977" s="2">
        <v>976</v>
      </c>
      <c r="B977" s="4">
        <v>2.2999999999999998</v>
      </c>
      <c r="C977" s="3" t="str">
        <f>"TFC000003912"</f>
        <v>TFC000003912</v>
      </c>
      <c r="D977" s="3" t="str">
        <f>"F800-21-0202-17(AR 2.3)"</f>
        <v>F800-21-0202-17(AR 2.3)</v>
      </c>
      <c r="E977" s="3" t="str">
        <f>"Babymouse. 17, Extreme babymouse"</f>
        <v>Babymouse. 17, Extreme babymouse</v>
      </c>
      <c r="F977" s="3" t="str">
        <f>"by Jennifer L. Holm, Matthew Holm"</f>
        <v>by Jennifer L. Holm, Matthew Holm</v>
      </c>
      <c r="G977" s="3" t="str">
        <f>"Random House"</f>
        <v>Random House</v>
      </c>
      <c r="H977" s="2" t="str">
        <f>"2013"</f>
        <v>2013</v>
      </c>
      <c r="I977" s="3" t="str">
        <f>""</f>
        <v/>
      </c>
    </row>
    <row r="978" spans="1:9" x14ac:dyDescent="0.3">
      <c r="A978" s="2">
        <v>977</v>
      </c>
      <c r="B978" s="4">
        <v>2.2999999999999998</v>
      </c>
      <c r="C978" s="3" t="str">
        <f>"TFC000003914"</f>
        <v>TFC000003914</v>
      </c>
      <c r="D978" s="3" t="str">
        <f>"F800-21-0204-19(AR 2.3)"</f>
        <v>F800-21-0204-19(AR 2.3)</v>
      </c>
      <c r="E978" s="3" t="str">
        <f>"Babymouse. 19, Bad Babysitter"</f>
        <v>Babymouse. 19, Bad Babysitter</v>
      </c>
      <c r="F978" s="3" t="str">
        <f>"by Jennifer L. Holm, Matthew Holm"</f>
        <v>by Jennifer L. Holm, Matthew Holm</v>
      </c>
      <c r="G978" s="3" t="str">
        <f>"Random House"</f>
        <v>Random House</v>
      </c>
      <c r="H978" s="2" t="str">
        <f>"2015"</f>
        <v>2015</v>
      </c>
      <c r="I978" s="3" t="str">
        <f>""</f>
        <v/>
      </c>
    </row>
    <row r="979" spans="1:9" x14ac:dyDescent="0.3">
      <c r="A979" s="2">
        <v>978</v>
      </c>
      <c r="B979" s="4">
        <v>2.2999999999999998</v>
      </c>
      <c r="C979" s="3" t="str">
        <f>"TFC000000631"</f>
        <v>TFC000000631</v>
      </c>
      <c r="D979" s="3" t="str">
        <f>"F800-20-0685-2(AR 2.3)"</f>
        <v>F800-20-0685-2(AR 2.3)</v>
      </c>
      <c r="E979" s="3" t="str">
        <f>"Yasmin the friend"</f>
        <v>Yasmin the friend</v>
      </c>
      <c r="F979" s="3" t="str">
        <f>"written by Saadia Faruqi ; illustrated by Hatem Aly"</f>
        <v>written by Saadia Faruqi ; illustrated by Hatem Aly</v>
      </c>
      <c r="G979" s="3" t="str">
        <f>"Picture Window Books"</f>
        <v>Picture Window Books</v>
      </c>
      <c r="H979" s="2" t="str">
        <f>"2020"</f>
        <v>2020</v>
      </c>
      <c r="I979" s="3" t="str">
        <f>""</f>
        <v/>
      </c>
    </row>
    <row r="980" spans="1:9" x14ac:dyDescent="0.3">
      <c r="A980" s="2">
        <v>979</v>
      </c>
      <c r="B980" s="4">
        <v>2.2999999999999998</v>
      </c>
      <c r="C980" s="3" t="str">
        <f>"TFC000000657"</f>
        <v>TFC000000657</v>
      </c>
      <c r="D980" s="3" t="str">
        <f>"F800-20-0711-2(AR 2.3)"</f>
        <v>F800-20-0711-2(AR 2.3)</v>
      </c>
      <c r="E980" s="3" t="str">
        <f>"(The)case of the sleepy sloth"</f>
        <v>(The)case of the sleepy sloth</v>
      </c>
      <c r="F980" s="3" t="str">
        <f>"story by Cynthia Rylant ; pictures by G. Brian Karas"</f>
        <v>story by Cynthia Rylant ; pictures by G. Brian Karas</v>
      </c>
      <c r="G980" s="3" t="str">
        <f>"HarperTrophy:Moonjin Media"</f>
        <v>HarperTrophy:Moonjin Media</v>
      </c>
      <c r="H980" s="2" t="str">
        <f>"2002"</f>
        <v>2002</v>
      </c>
      <c r="I980" s="3" t="str">
        <f>""</f>
        <v/>
      </c>
    </row>
    <row r="981" spans="1:9" x14ac:dyDescent="0.3">
      <c r="A981" s="2">
        <v>980</v>
      </c>
      <c r="B981" s="4">
        <v>2.2999999999999998</v>
      </c>
      <c r="C981" s="3" t="str">
        <f>"TFC000000660"</f>
        <v>TFC000000660</v>
      </c>
      <c r="D981" s="3" t="str">
        <f>"F800-20-0714-2(AR 2.3)"</f>
        <v>F800-20-0714-2(AR 2.3)</v>
      </c>
      <c r="E981" s="3" t="str">
        <f>"Henry and Mudge and the wild wind : the twelfth book of their adventures"</f>
        <v>Henry and Mudge and the wild wind : the twelfth book of their adventures</v>
      </c>
      <c r="F981" s="3" t="str">
        <f>"story by Cynthia Rylant ; pictures by Sucie Stevenson"</f>
        <v>story by Cynthia Rylant ; pictures by Sucie Stevenson</v>
      </c>
      <c r="G981" s="3" t="str">
        <f>"Simon Spotlight"</f>
        <v>Simon Spotlight</v>
      </c>
      <c r="H981" s="2" t="str">
        <f>"1996"</f>
        <v>1996</v>
      </c>
      <c r="I981" s="3" t="str">
        <f>""</f>
        <v/>
      </c>
    </row>
    <row r="982" spans="1:9" x14ac:dyDescent="0.3">
      <c r="A982" s="2">
        <v>981</v>
      </c>
      <c r="B982" s="4">
        <v>2.2999999999999998</v>
      </c>
      <c r="C982" s="3" t="str">
        <f>"TFC000004142"</f>
        <v>TFC000004142</v>
      </c>
      <c r="D982" s="3" t="str">
        <f>"F800-21-0214-2(AR 2.3)"</f>
        <v>F800-21-0214-2(AR 2.3)</v>
      </c>
      <c r="E982" s="3" t="str">
        <f>"Mr. Wolf's class. 2, Mystery club"</f>
        <v>Mr. Wolf's class. 2, Mystery club</v>
      </c>
      <c r="F982" s="3" t="str">
        <f>"Aron Nels Steinke"</f>
        <v>Aron Nels Steinke</v>
      </c>
      <c r="G982" s="3" t="str">
        <f>"Scholastic"</f>
        <v>Scholastic</v>
      </c>
      <c r="H982" s="2" t="str">
        <f>"2019"</f>
        <v>2019</v>
      </c>
      <c r="I982" s="3" t="str">
        <f>""</f>
        <v/>
      </c>
    </row>
    <row r="983" spans="1:9" x14ac:dyDescent="0.3">
      <c r="A983" s="2">
        <v>982</v>
      </c>
      <c r="B983" s="4">
        <v>2.2999999999999998</v>
      </c>
      <c r="C983" s="3" t="str">
        <f>"TFC000003913"</f>
        <v>TFC000003913</v>
      </c>
      <c r="D983" s="3" t="str">
        <f>"F800-21-0203-20(AR 2.3)"</f>
        <v>F800-21-0203-20(AR 2.3)</v>
      </c>
      <c r="E983" s="3" t="str">
        <f>"Babymouse. 20, Babymouse goes for the gold"</f>
        <v>Babymouse. 20, Babymouse goes for the gold</v>
      </c>
      <c r="F983" s="3" t="str">
        <f>"by Jennifer L. Holm, Matthew Holm"</f>
        <v>by Jennifer L. Holm, Matthew Holm</v>
      </c>
      <c r="G983" s="3" t="str">
        <f>"Random House"</f>
        <v>Random House</v>
      </c>
      <c r="H983" s="2" t="str">
        <f>"2016"</f>
        <v>2016</v>
      </c>
      <c r="I983" s="3" t="str">
        <f>""</f>
        <v/>
      </c>
    </row>
    <row r="984" spans="1:9" x14ac:dyDescent="0.3">
      <c r="A984" s="2">
        <v>983</v>
      </c>
      <c r="B984" s="4">
        <v>2.2999999999999998</v>
      </c>
      <c r="C984" s="3" t="str">
        <f>"TFC000000632"</f>
        <v>TFC000000632</v>
      </c>
      <c r="D984" s="3" t="str">
        <f>"F800-20-0686-3(AR 2.3)"</f>
        <v>F800-20-0686-3(AR 2.3)</v>
      </c>
      <c r="E984" s="3" t="str">
        <f>"Yasmin the soccer star"</f>
        <v>Yasmin the soccer star</v>
      </c>
      <c r="F984" s="3" t="str">
        <f>"written by Saadia Faruqi ; illustrated by Hatem Aly"</f>
        <v>written by Saadia Faruqi ; illustrated by Hatem Aly</v>
      </c>
      <c r="G984" s="3" t="str">
        <f>"Picture Window Books"</f>
        <v>Picture Window Books</v>
      </c>
      <c r="H984" s="2" t="str">
        <f>"2020"</f>
        <v>2020</v>
      </c>
      <c r="I984" s="3" t="str">
        <f>""</f>
        <v/>
      </c>
    </row>
    <row r="985" spans="1:9" x14ac:dyDescent="0.3">
      <c r="A985" s="2">
        <v>984</v>
      </c>
      <c r="B985" s="4">
        <v>2.2999999999999998</v>
      </c>
      <c r="C985" s="3" t="str">
        <f>"TFC000000658"</f>
        <v>TFC000000658</v>
      </c>
      <c r="D985" s="3" t="str">
        <f>"F800-20-0712-3(AR 2.3)"</f>
        <v>F800-20-0712-3(AR 2.3)</v>
      </c>
      <c r="E985" s="3" t="str">
        <f>"(The)case of the troublesome turtle"</f>
        <v>(The)case of the troublesome turtle</v>
      </c>
      <c r="F985" s="3" t="str">
        <f>"by Cynthia Rylant ; pictures by G. Brian Karas"</f>
        <v>by Cynthia Rylant ; pictures by G. Brian Karas</v>
      </c>
      <c r="G985" s="3" t="str">
        <f>"HarperTrophy"</f>
        <v>HarperTrophy</v>
      </c>
      <c r="H985" s="2" t="str">
        <f>"2001"</f>
        <v>2001</v>
      </c>
      <c r="I985" s="3" t="str">
        <f>""</f>
        <v/>
      </c>
    </row>
    <row r="986" spans="1:9" x14ac:dyDescent="0.3">
      <c r="A986" s="2">
        <v>985</v>
      </c>
      <c r="B986" s="4">
        <v>2.2999999999999998</v>
      </c>
      <c r="C986" s="3" t="str">
        <f>"TFC000000661"</f>
        <v>TFC000000661</v>
      </c>
      <c r="D986" s="3" t="str">
        <f>"F800-20-0715-3(AR 2.3)"</f>
        <v>F800-20-0715-3(AR 2.3)</v>
      </c>
      <c r="E986" s="3" t="str">
        <f>"Henry and Mudge under the yellow moon : the fourth book of their adventures"</f>
        <v>Henry and Mudge under the yellow moon : the fourth book of their adventures</v>
      </c>
      <c r="F986" s="3" t="str">
        <f>"by Cynthia Rylant ; illustrated by Sucie Stevenson"</f>
        <v>by Cynthia Rylant ; illustrated by Sucie Stevenson</v>
      </c>
      <c r="G986" s="3" t="str">
        <f>"Simon Spotlight"</f>
        <v>Simon Spotlight</v>
      </c>
      <c r="H986" s="2" t="str">
        <f>"1987"</f>
        <v>1987</v>
      </c>
      <c r="I986" s="3" t="str">
        <f>""</f>
        <v/>
      </c>
    </row>
    <row r="987" spans="1:9" x14ac:dyDescent="0.3">
      <c r="A987" s="2">
        <v>986</v>
      </c>
      <c r="B987" s="4">
        <v>2.2999999999999998</v>
      </c>
      <c r="C987" s="3" t="str">
        <f>"TFC000000591"</f>
        <v>TFC000000591</v>
      </c>
      <c r="D987" s="3" t="str">
        <f>"F800-20-0645-7(AR 2.3)"</f>
        <v>F800-20-0645-7(AR 2.3)</v>
      </c>
      <c r="E987" s="3" t="str">
        <f>"Arthur's birthday"</f>
        <v>Arthur's birthday</v>
      </c>
      <c r="F987" s="3" t="str">
        <f>"by Marc Brown"</f>
        <v>by Marc Brown</v>
      </c>
      <c r="G987" s="3" t="str">
        <f>"Little, Brown and Company"</f>
        <v>Little, Brown and Company</v>
      </c>
      <c r="H987" s="2" t="str">
        <f>"2011"</f>
        <v>2011</v>
      </c>
      <c r="I987" s="3" t="str">
        <f>""</f>
        <v/>
      </c>
    </row>
    <row r="988" spans="1:9" x14ac:dyDescent="0.3">
      <c r="A988" s="2">
        <v>987</v>
      </c>
      <c r="B988" s="4">
        <v>2.2999999999999998</v>
      </c>
      <c r="C988" s="3" t="str">
        <f>"TFC000003847"</f>
        <v>TFC000003847</v>
      </c>
      <c r="D988" s="3" t="str">
        <f>"F800-21-0198-7(AR 2.3)"</f>
        <v>F800-21-0198-7(AR 2.3)</v>
      </c>
      <c r="E988" s="3" t="str">
        <f>"(The)Bad Guys. 7, Do-You-Think-He-Saurus?"</f>
        <v>(The)Bad Guys. 7, Do-You-Think-He-Saurus?</v>
      </c>
      <c r="F988" s="3" t="str">
        <f>"by Aaron Blabey"</f>
        <v>by Aaron Blabey</v>
      </c>
      <c r="G988" s="3" t="str">
        <f>"Scholastic"</f>
        <v>Scholastic</v>
      </c>
      <c r="H988" s="2" t="str">
        <f>"2021"</f>
        <v>2021</v>
      </c>
      <c r="I988" s="3" t="str">
        <f>""</f>
        <v/>
      </c>
    </row>
    <row r="989" spans="1:9" x14ac:dyDescent="0.3">
      <c r="A989" s="2">
        <v>988</v>
      </c>
      <c r="B989" s="4" t="s">
        <v>24</v>
      </c>
      <c r="C989" s="3" t="str">
        <f>"TFC000000656"</f>
        <v>TFC000000656</v>
      </c>
      <c r="D989" s="3" t="str">
        <f>"F800-20-0710-v1(AR 2.3)"</f>
        <v>F800-20-0710-v1(AR 2.3)</v>
      </c>
      <c r="E989" s="3" t="str">
        <f>"(The)case of the missing monkey"</f>
        <v>(The)case of the missing monkey</v>
      </c>
      <c r="F989" s="3" t="str">
        <f>"by Cynthia Rylant ; pictures by G. Brian Karas"</f>
        <v>by Cynthia Rylant ; pictures by G. Brian Karas</v>
      </c>
      <c r="G989" s="3" t="str">
        <f>"HarperTrophy"</f>
        <v>HarperTrophy</v>
      </c>
      <c r="H989" s="2" t="str">
        <f>"2000"</f>
        <v>2000</v>
      </c>
      <c r="I989" s="3" t="str">
        <f>""</f>
        <v/>
      </c>
    </row>
    <row r="990" spans="1:9" x14ac:dyDescent="0.3">
      <c r="A990" s="2">
        <v>989</v>
      </c>
      <c r="B990" s="4" t="s">
        <v>25</v>
      </c>
      <c r="C990" s="3" t="str">
        <f>"TFC000003507"</f>
        <v>TFC000003507</v>
      </c>
      <c r="D990" s="3" t="str">
        <f>"F800-21-0229-(AR 2.4)"</f>
        <v>F800-21-0229-(AR 2.4)</v>
      </c>
      <c r="E990" s="3" t="str">
        <f>"Monkey me and the golden monkey"</f>
        <v>Monkey me and the golden monkey</v>
      </c>
      <c r="F990" s="3" t="str">
        <f>"by Tim Roland"</f>
        <v>by Tim Roland</v>
      </c>
      <c r="G990" s="3" t="str">
        <f>"Scholastic Inc"</f>
        <v>Scholastic Inc</v>
      </c>
      <c r="H990" s="2" t="str">
        <f>"2020"</f>
        <v>2020</v>
      </c>
      <c r="I990" s="2" t="s">
        <v>2</v>
      </c>
    </row>
    <row r="991" spans="1:9" x14ac:dyDescent="0.3">
      <c r="A991" s="2">
        <v>990</v>
      </c>
      <c r="B991" s="4" t="s">
        <v>25</v>
      </c>
      <c r="C991" s="3" t="str">
        <f>"TFC000003509"</f>
        <v>TFC000003509</v>
      </c>
      <c r="D991" s="3" t="str">
        <f>"F800-21-0230-(AR 2.4)"</f>
        <v>F800-21-0230-(AR 2.4)</v>
      </c>
      <c r="E991" s="3" t="str">
        <f>"Monkey Me and the new neighbor"</f>
        <v>Monkey Me and the new neighbor</v>
      </c>
      <c r="F991" s="3" t="str">
        <f>"by Tim Roland"</f>
        <v>by Tim Roland</v>
      </c>
      <c r="G991" s="3" t="str">
        <f>"Scholastic Inc"</f>
        <v>Scholastic Inc</v>
      </c>
      <c r="H991" s="2" t="str">
        <f>"2020"</f>
        <v>2020</v>
      </c>
      <c r="I991" s="2" t="s">
        <v>2</v>
      </c>
    </row>
    <row r="992" spans="1:9" x14ac:dyDescent="0.3">
      <c r="A992" s="2">
        <v>991</v>
      </c>
      <c r="B992" s="4" t="s">
        <v>25</v>
      </c>
      <c r="C992" s="3" t="str">
        <f>"TFC000000709"</f>
        <v>TFC000000709</v>
      </c>
      <c r="D992" s="3" t="str">
        <f>"F800-20-0779-(AR 2.4)"</f>
        <v>F800-20-0779-(AR 2.4)</v>
      </c>
      <c r="E992" s="3" t="str">
        <f>"Olivia forms a band"</f>
        <v>Olivia forms a band</v>
      </c>
      <c r="F992" s="3" t="str">
        <f>"by Ian Falconer"</f>
        <v>by Ian Falconer</v>
      </c>
      <c r="G992" s="3" t="str">
        <f>"Atheneum Books For Young Readers"</f>
        <v>Atheneum Books For Young Readers</v>
      </c>
      <c r="H992" s="2" t="str">
        <f>"2006"</f>
        <v>2006</v>
      </c>
      <c r="I992" s="2" t="s">
        <v>2</v>
      </c>
    </row>
    <row r="993" spans="1:9" x14ac:dyDescent="0.3">
      <c r="A993" s="2">
        <v>992</v>
      </c>
      <c r="B993" s="4" t="s">
        <v>25</v>
      </c>
      <c r="C993" s="3" t="str">
        <f>"TFC000004215"</f>
        <v>TFC000004215</v>
      </c>
      <c r="D993" s="3" t="str">
        <f>"F800-22-0100-(AR 2.4)"</f>
        <v>F800-22-0100-(AR 2.4)</v>
      </c>
      <c r="E993" s="3" t="str">
        <f>"Sunny-Side Up"</f>
        <v>Sunny-Side Up</v>
      </c>
      <c r="F993" s="3" t="str">
        <f>"by Jacky Davis, illustrated by Fiona Woodcock"</f>
        <v>by Jacky Davis, illustrated by Fiona Woodcock</v>
      </c>
      <c r="G993" s="3" t="str">
        <f>"Two Ponds"</f>
        <v>Two Ponds</v>
      </c>
      <c r="H993" s="2" t="str">
        <f>"2021"</f>
        <v>2021</v>
      </c>
      <c r="I993" s="2" t="s">
        <v>2</v>
      </c>
    </row>
    <row r="994" spans="1:9" x14ac:dyDescent="0.3">
      <c r="A994" s="2">
        <v>993</v>
      </c>
      <c r="B994" s="4" t="s">
        <v>25</v>
      </c>
      <c r="C994" s="3" t="str">
        <f>"TFC000000672"</f>
        <v>TFC000000672</v>
      </c>
      <c r="D994" s="3" t="str">
        <f>"F400-20-0740-(AR 2.4)"</f>
        <v>F400-20-0740-(AR 2.4)</v>
      </c>
      <c r="E994" s="3" t="str">
        <f>"(The)moon"</f>
        <v>(The)moon</v>
      </c>
      <c r="F994" s="3" t="str">
        <f>"by Melanie Chrismer"</f>
        <v>by Melanie Chrismer</v>
      </c>
      <c r="G994" s="3" t="str">
        <f>"Children Press"</f>
        <v>Children Press</v>
      </c>
      <c r="H994" s="2" t="str">
        <f>"2008"</f>
        <v>2008</v>
      </c>
      <c r="I994" s="3" t="str">
        <f>""</f>
        <v/>
      </c>
    </row>
    <row r="995" spans="1:9" x14ac:dyDescent="0.3">
      <c r="A995" s="2">
        <v>994</v>
      </c>
      <c r="B995" s="4" t="s">
        <v>25</v>
      </c>
      <c r="C995" s="3" t="str">
        <f>"TFC000000673"</f>
        <v>TFC000000673</v>
      </c>
      <c r="D995" s="3" t="str">
        <f>"F400-20-0741-(AR 2.4)"</f>
        <v>F400-20-0741-(AR 2.4)</v>
      </c>
      <c r="E995" s="3" t="str">
        <f>"Earth"</f>
        <v>Earth</v>
      </c>
      <c r="F995" s="3" t="str">
        <f>"by Christine Taylor-Bulter"</f>
        <v>by Christine Taylor-Bulter</v>
      </c>
      <c r="G995" s="3" t="str">
        <f>"Scholastic"</f>
        <v>Scholastic</v>
      </c>
      <c r="H995" s="2" t="str">
        <f>"2007"</f>
        <v>2007</v>
      </c>
      <c r="I995" s="3" t="str">
        <f>""</f>
        <v/>
      </c>
    </row>
    <row r="996" spans="1:9" x14ac:dyDescent="0.3">
      <c r="A996" s="2">
        <v>995</v>
      </c>
      <c r="B996" s="4" t="s">
        <v>25</v>
      </c>
      <c r="C996" s="3" t="str">
        <f>"TFC000000674"</f>
        <v>TFC000000674</v>
      </c>
      <c r="D996" s="3" t="str">
        <f>"F500-20-0743-(AR 2.4)"</f>
        <v>F500-20-0743-(AR 2.4)</v>
      </c>
      <c r="E996" s="3" t="str">
        <f>"My hands"</f>
        <v>My hands</v>
      </c>
      <c r="F996" s="3" t="str">
        <f>"by Aliki"</f>
        <v>by Aliki</v>
      </c>
      <c r="G996" s="3" t="str">
        <f>"HarperCollins Publishers"</f>
        <v>HarperCollins Publishers</v>
      </c>
      <c r="H996" s="2" t="str">
        <f>"1990"</f>
        <v>1990</v>
      </c>
      <c r="I996" s="3" t="str">
        <f>""</f>
        <v/>
      </c>
    </row>
    <row r="997" spans="1:9" x14ac:dyDescent="0.3">
      <c r="A997" s="2">
        <v>996</v>
      </c>
      <c r="B997" s="4" t="s">
        <v>25</v>
      </c>
      <c r="C997" s="3" t="str">
        <f>"TFC000000675"</f>
        <v>TFC000000675</v>
      </c>
      <c r="D997" s="3" t="str">
        <f>"F800-20-0745-(AR 2.4)"</f>
        <v>F800-20-0745-(AR 2.4)</v>
      </c>
      <c r="E997" s="3" t="str">
        <f>"Who sank the boat?"</f>
        <v>Who sank the boat?</v>
      </c>
      <c r="F997" s="3" t="str">
        <f>"Pamela Allen"</f>
        <v>Pamela Allen</v>
      </c>
      <c r="G997" s="3" t="str">
        <f>"PaperStar Book"</f>
        <v>PaperStar Book</v>
      </c>
      <c r="H997" s="2" t="str">
        <f>"1996"</f>
        <v>1996</v>
      </c>
      <c r="I997" s="3" t="str">
        <f>""</f>
        <v/>
      </c>
    </row>
    <row r="998" spans="1:9" x14ac:dyDescent="0.3">
      <c r="A998" s="2">
        <v>997</v>
      </c>
      <c r="B998" s="4" t="s">
        <v>25</v>
      </c>
      <c r="C998" s="3" t="str">
        <f>"TFC000000676"</f>
        <v>TFC000000676</v>
      </c>
      <c r="D998" s="3" t="str">
        <f>"F800-20-0746-(AR 2.4)"</f>
        <v>F800-20-0746-(AR 2.4)</v>
      </c>
      <c r="E998" s="3" t="str">
        <f>"That fat hat"</f>
        <v>That fat hat</v>
      </c>
      <c r="F998" s="3" t="str">
        <f>"by Joanne Barkan ; illustrated by Maggie Swanson"</f>
        <v>by Joanne Barkan ; illustrated by Maggie Swanson</v>
      </c>
      <c r="G998" s="3" t="str">
        <f>"Scholastic"</f>
        <v>Scholastic</v>
      </c>
      <c r="H998" s="2" t="str">
        <f>"1992"</f>
        <v>1992</v>
      </c>
      <c r="I998" s="3" t="str">
        <f>""</f>
        <v/>
      </c>
    </row>
    <row r="999" spans="1:9" x14ac:dyDescent="0.3">
      <c r="A999" s="2">
        <v>998</v>
      </c>
      <c r="B999" s="4" t="s">
        <v>25</v>
      </c>
      <c r="C999" s="3" t="str">
        <f>"TFC000000680"</f>
        <v>TFC000000680</v>
      </c>
      <c r="D999" s="3" t="str">
        <f>"F800-20-0750-(AR 2.4)"</f>
        <v>F800-20-0750-(AR 2.4)</v>
      </c>
      <c r="E999" s="3" t="str">
        <f>"Big red barn"</f>
        <v>Big red barn</v>
      </c>
      <c r="F999" s="3" t="str">
        <f>"Margaret Wise Brown ; pictures by Felicia Bond"</f>
        <v>Margaret Wise Brown ; pictures by Felicia Bond</v>
      </c>
      <c r="G999" s="3" t="str">
        <f>"HarperFestival"</f>
        <v>HarperFestival</v>
      </c>
      <c r="H999" s="2" t="str">
        <f>"1995"</f>
        <v>1995</v>
      </c>
      <c r="I999" s="3" t="str">
        <f>""</f>
        <v/>
      </c>
    </row>
    <row r="1000" spans="1:9" x14ac:dyDescent="0.3">
      <c r="A1000" s="2">
        <v>999</v>
      </c>
      <c r="B1000" s="4" t="s">
        <v>25</v>
      </c>
      <c r="C1000" s="3" t="str">
        <f>"TFC000000681"</f>
        <v>TFC000000681</v>
      </c>
      <c r="D1000" s="3" t="str">
        <f>"F800-20-0751-(AR 2.4)"</f>
        <v>F800-20-0751-(AR 2.4)</v>
      </c>
      <c r="E1000" s="3" t="str">
        <f>"Into the forest"</f>
        <v>Into the forest</v>
      </c>
      <c r="F1000" s="3" t="str">
        <f>"Anthony Browne"</f>
        <v>Anthony Browne</v>
      </c>
      <c r="G1000" s="3" t="str">
        <f>"Walker Books"</f>
        <v>Walker Books</v>
      </c>
      <c r="H1000" s="2" t="str">
        <f>"2004"</f>
        <v>2004</v>
      </c>
      <c r="I1000" s="3" t="str">
        <f>""</f>
        <v/>
      </c>
    </row>
    <row r="1001" spans="1:9" x14ac:dyDescent="0.3">
      <c r="A1001" s="2">
        <v>1000</v>
      </c>
      <c r="B1001" s="4" t="s">
        <v>25</v>
      </c>
      <c r="C1001" s="3" t="str">
        <f>"TFC000000682"</f>
        <v>TFC000000682</v>
      </c>
      <c r="D1001" s="3" t="str">
        <f>"F800-20-0752-(AR 2.4)"</f>
        <v>F800-20-0752-(AR 2.4)</v>
      </c>
      <c r="E1001" s="3" t="str">
        <f>"Smoky night"</f>
        <v>Smoky night</v>
      </c>
      <c r="F1001" s="3" t="str">
        <f>"written by Eve Bunting ; illustrated by David Diaz"</f>
        <v>written by Eve Bunting ; illustrated by David Diaz</v>
      </c>
      <c r="G1001" s="3" t="str">
        <f>"Houghton Mifflin Harcourt"</f>
        <v>Houghton Mifflin Harcourt</v>
      </c>
      <c r="H1001" s="2" t="str">
        <f>"1994"</f>
        <v>1994</v>
      </c>
      <c r="I1001" s="3" t="str">
        <f>""</f>
        <v/>
      </c>
    </row>
    <row r="1002" spans="1:9" x14ac:dyDescent="0.3">
      <c r="A1002" s="2">
        <v>1001</v>
      </c>
      <c r="B1002" s="4" t="s">
        <v>25</v>
      </c>
      <c r="C1002" s="3" t="str">
        <f>"TFC000000683"</f>
        <v>TFC000000683</v>
      </c>
      <c r="D1002" s="3" t="str">
        <f>"F800-20-0753-(AR 2.4)"</f>
        <v>F800-20-0753-(AR 2.4)</v>
      </c>
      <c r="E1002" s="3" t="str">
        <f>"Hey! get off our train"</f>
        <v>Hey! get off our train</v>
      </c>
      <c r="F1002" s="3" t="str">
        <f>"John Burningham"</f>
        <v>John Burningham</v>
      </c>
      <c r="G1002" s="3" t="str">
        <f>"Dragonfly Books"</f>
        <v>Dragonfly Books</v>
      </c>
      <c r="H1002" s="2" t="str">
        <f>"1989"</f>
        <v>1989</v>
      </c>
      <c r="I1002" s="3" t="str">
        <f>""</f>
        <v/>
      </c>
    </row>
    <row r="1003" spans="1:9" x14ac:dyDescent="0.3">
      <c r="A1003" s="2">
        <v>1002</v>
      </c>
      <c r="B1003" s="4" t="s">
        <v>25</v>
      </c>
      <c r="C1003" s="3" t="str">
        <f>"TFC000000684"</f>
        <v>TFC000000684</v>
      </c>
      <c r="D1003" s="3" t="str">
        <f>"F800-20-0754-(AR 2.4)"</f>
        <v>F800-20-0754-(AR 2.4)</v>
      </c>
      <c r="E1003" s="3" t="str">
        <f>"(The)very lonely firefly"</f>
        <v>(The)very lonely firefly</v>
      </c>
      <c r="F1003" s="3" t="str">
        <f>"by Eric Carle"</f>
        <v>by Eric Carle</v>
      </c>
      <c r="G1003" s="3" t="str">
        <f>"Philomel Books"</f>
        <v>Philomel Books</v>
      </c>
      <c r="H1003" s="2" t="str">
        <f>"1999"</f>
        <v>1999</v>
      </c>
      <c r="I1003" s="3" t="str">
        <f>""</f>
        <v/>
      </c>
    </row>
    <row r="1004" spans="1:9" x14ac:dyDescent="0.3">
      <c r="A1004" s="2">
        <v>1003</v>
      </c>
      <c r="B1004" s="4" t="s">
        <v>25</v>
      </c>
      <c r="C1004" s="3" t="str">
        <f>"TFC000000685"</f>
        <v>TFC000000685</v>
      </c>
      <c r="D1004" s="3" t="str">
        <f>"F800-20-0755-(AR 2.4)"</f>
        <v>F800-20-0755-(AR 2.4)</v>
      </c>
      <c r="E1004" s="3" t="str">
        <f>"Aunt eater loves a mystery"</f>
        <v>Aunt eater loves a mystery</v>
      </c>
      <c r="F1004" s="3" t="str">
        <f>"by Doug Cushman"</f>
        <v>by Doug Cushman</v>
      </c>
      <c r="G1004" s="3" t="str">
        <f>"HarperCollins Publishers"</f>
        <v>HarperCollins Publishers</v>
      </c>
      <c r="H1004" s="2" t="str">
        <f>"1987"</f>
        <v>1987</v>
      </c>
      <c r="I1004" s="3" t="str">
        <f>""</f>
        <v/>
      </c>
    </row>
    <row r="1005" spans="1:9" x14ac:dyDescent="0.3">
      <c r="A1005" s="2">
        <v>1004</v>
      </c>
      <c r="B1005" s="4" t="s">
        <v>25</v>
      </c>
      <c r="C1005" s="3" t="str">
        <f>"TFC000000686"</f>
        <v>TFC000000686</v>
      </c>
      <c r="D1005" s="3" t="str">
        <f>"F800-20-0756-(AR 2.4)"</f>
        <v>F800-20-0756-(AR 2.4)</v>
      </c>
      <c r="E1005" s="3" t="str">
        <f>"Buzby"</f>
        <v>Buzby</v>
      </c>
      <c r="F1005" s="3" t="str">
        <f>"by Julia Hoban ; pictures by John Himmelman"</f>
        <v>by Julia Hoban ; pictures by John Himmelman</v>
      </c>
      <c r="G1005" s="3" t="str">
        <f>"HarperTrophy"</f>
        <v>HarperTrophy</v>
      </c>
      <c r="H1005" s="2" t="str">
        <f>"1992"</f>
        <v>1992</v>
      </c>
      <c r="I1005" s="3" t="str">
        <f>""</f>
        <v/>
      </c>
    </row>
    <row r="1006" spans="1:9" x14ac:dyDescent="0.3">
      <c r="A1006" s="2">
        <v>1005</v>
      </c>
      <c r="B1006" s="4" t="s">
        <v>25</v>
      </c>
      <c r="C1006" s="3" t="str">
        <f>"TFC000000687"</f>
        <v>TFC000000687</v>
      </c>
      <c r="D1006" s="3" t="str">
        <f>"F800-20-0757-(AR 2.4)"</f>
        <v>F800-20-0757-(AR 2.4)</v>
      </c>
      <c r="E1006" s="3" t="str">
        <f>"Silly Tilly and the easter bunny"</f>
        <v>Silly Tilly and the easter bunny</v>
      </c>
      <c r="F1006" s="3" t="str">
        <f>"story and pictures by Lillian Hoban"</f>
        <v>story and pictures by Lillian Hoban</v>
      </c>
      <c r="G1006" s="3" t="str">
        <f>"HarperCollins Publishers"</f>
        <v>HarperCollins Publishers</v>
      </c>
      <c r="H1006" s="2" t="str">
        <f>"1987"</f>
        <v>1987</v>
      </c>
      <c r="I1006" s="3" t="str">
        <f>""</f>
        <v/>
      </c>
    </row>
    <row r="1007" spans="1:9" x14ac:dyDescent="0.3">
      <c r="A1007" s="2">
        <v>1006</v>
      </c>
      <c r="B1007" s="4" t="s">
        <v>25</v>
      </c>
      <c r="C1007" s="3" t="str">
        <f>"TFC000000688"</f>
        <v>TFC000000688</v>
      </c>
      <c r="D1007" s="3" t="str">
        <f>"F800-20-0758-(AR 2.4)"</f>
        <v>F800-20-0758-(AR 2.4)</v>
      </c>
      <c r="E1007" s="3" t="str">
        <f>"(A)letter to amy"</f>
        <v>(A)letter to amy</v>
      </c>
      <c r="F1007" s="3" t="str">
        <f>"Ezra Jack Keats"</f>
        <v>Ezra Jack Keats</v>
      </c>
      <c r="G1007" s="3" t="str">
        <f>"Puffin Books"</f>
        <v>Puffin Books</v>
      </c>
      <c r="H1007" s="2" t="str">
        <f>"1998"</f>
        <v>1998</v>
      </c>
      <c r="I1007" s="3" t="str">
        <f>""</f>
        <v/>
      </c>
    </row>
    <row r="1008" spans="1:9" x14ac:dyDescent="0.3">
      <c r="A1008" s="2">
        <v>1007</v>
      </c>
      <c r="B1008" s="4" t="s">
        <v>25</v>
      </c>
      <c r="C1008" s="3" t="str">
        <f>"TFC000000689"</f>
        <v>TFC000000689</v>
      </c>
      <c r="D1008" s="3" t="str">
        <f>"F800-20-0759-(AR 2.4)"</f>
        <v>F800-20-0759-(AR 2.4)</v>
      </c>
      <c r="E1008" s="3" t="str">
        <f>"Mouse soup"</f>
        <v>Mouse soup</v>
      </c>
      <c r="F1008" s="3" t="str">
        <f>"by Arnold Lobel"</f>
        <v>by Arnold Lobel</v>
      </c>
      <c r="G1008" s="3" t="str">
        <f>"HarperCollins Publishers"</f>
        <v>HarperCollins Publishers</v>
      </c>
      <c r="H1008" s="2" t="str">
        <f>"1977"</f>
        <v>1977</v>
      </c>
      <c r="I1008" s="3" t="str">
        <f>""</f>
        <v/>
      </c>
    </row>
    <row r="1009" spans="1:9" x14ac:dyDescent="0.3">
      <c r="A1009" s="2">
        <v>1008</v>
      </c>
      <c r="B1009" s="4" t="s">
        <v>25</v>
      </c>
      <c r="C1009" s="3" t="str">
        <f>"TFC000000690"</f>
        <v>TFC000000690</v>
      </c>
      <c r="D1009" s="3" t="str">
        <f>"F800-20-0760-(AR 2.4)"</f>
        <v>F800-20-0760-(AR 2.4)</v>
      </c>
      <c r="E1009" s="3" t="str">
        <f>"George and Martha tons of fun"</f>
        <v>George and Martha tons of fun</v>
      </c>
      <c r="F1009" s="3" t="str">
        <f>"by James Marshall"</f>
        <v>by James Marshall</v>
      </c>
      <c r="G1009" s="3" t="str">
        <f>"Houghton Mifflin Company"</f>
        <v>Houghton Mifflin Company</v>
      </c>
      <c r="H1009" s="2" t="str">
        <f>"1980"</f>
        <v>1980</v>
      </c>
      <c r="I1009" s="3" t="str">
        <f>""</f>
        <v/>
      </c>
    </row>
    <row r="1010" spans="1:9" x14ac:dyDescent="0.3">
      <c r="A1010" s="2">
        <v>1009</v>
      </c>
      <c r="B1010" s="4" t="s">
        <v>25</v>
      </c>
      <c r="C1010" s="3" t="str">
        <f>"TFC000000692"</f>
        <v>TFC000000692</v>
      </c>
      <c r="D1010" s="3" t="str">
        <f>"F800-20-0762-(AR 2.4)"</f>
        <v>F800-20-0762-(AR 2.4)</v>
      </c>
      <c r="E1010" s="3" t="str">
        <f>"Nate the great and me the case of the fleeing fang"</f>
        <v>Nate the great and me the case of the fleeing fang</v>
      </c>
      <c r="F1010" s="3" t="str">
        <f>"by Marjorie Weinman Sharmat ; illustrated by Marc Simont"</f>
        <v>by Marjorie Weinman Sharmat ; illustrated by Marc Simont</v>
      </c>
      <c r="G1010" s="3" t="str">
        <f>"Yearling Book"</f>
        <v>Yearling Book</v>
      </c>
      <c r="H1010" s="2" t="str">
        <f>"2017"</f>
        <v>2017</v>
      </c>
      <c r="I1010" s="3" t="str">
        <f>""</f>
        <v/>
      </c>
    </row>
    <row r="1011" spans="1:9" x14ac:dyDescent="0.3">
      <c r="A1011" s="2">
        <v>1010</v>
      </c>
      <c r="B1011" s="4" t="s">
        <v>25</v>
      </c>
      <c r="C1011" s="3" t="str">
        <f>"TFC000000693"</f>
        <v>TFC000000693</v>
      </c>
      <c r="D1011" s="3" t="str">
        <f>"F800-20-0763-(AR 2.4)"</f>
        <v>F800-20-0763-(AR 2.4)</v>
      </c>
      <c r="E1011" s="3" t="str">
        <f>"Nate the great and the big sniff"</f>
        <v>Nate the great and the big sniff</v>
      </c>
      <c r="F1011" s="3" t="str">
        <f>"by Marjorie Weinman Sharmat, Mitchell Sharmat ; illustrated by Martha Weston"</f>
        <v>by Marjorie Weinman Sharmat, Mitchell Sharmat ; illustrated by Martha Weston</v>
      </c>
      <c r="G1011" s="3" t="str">
        <f>"Yearling Book"</f>
        <v>Yearling Book</v>
      </c>
      <c r="H1011" s="2" t="str">
        <f>"2007"</f>
        <v>2007</v>
      </c>
      <c r="I1011" s="3" t="str">
        <f>""</f>
        <v/>
      </c>
    </row>
    <row r="1012" spans="1:9" x14ac:dyDescent="0.3">
      <c r="A1012" s="2">
        <v>1011</v>
      </c>
      <c r="B1012" s="4" t="s">
        <v>25</v>
      </c>
      <c r="C1012" s="3" t="str">
        <f>"TFC000000694"</f>
        <v>TFC000000694</v>
      </c>
      <c r="D1012" s="3" t="str">
        <f>"F800-20-0764-(AR 2.4)"</f>
        <v>F800-20-0764-(AR 2.4)</v>
      </c>
      <c r="E1012" s="3" t="str">
        <f>"Cows can't fly"</f>
        <v>Cows can't fly</v>
      </c>
      <c r="F1012" s="3" t="str">
        <f>"Rosemary Wells"</f>
        <v>Rosemary Wells</v>
      </c>
      <c r="G1012" s="3" t="str">
        <f>"Puffin Books"</f>
        <v>Puffin Books</v>
      </c>
      <c r="H1012" s="2" t="str">
        <f>"1998"</f>
        <v>1998</v>
      </c>
      <c r="I1012" s="3" t="str">
        <f>""</f>
        <v/>
      </c>
    </row>
    <row r="1013" spans="1:9" x14ac:dyDescent="0.3">
      <c r="A1013" s="2">
        <v>1012</v>
      </c>
      <c r="B1013" s="4" t="s">
        <v>25</v>
      </c>
      <c r="C1013" s="3" t="str">
        <f>"TFC000000695"</f>
        <v>TFC000000695</v>
      </c>
      <c r="D1013" s="3" t="str">
        <f>"F800-20-0765-(AR 2.4)"</f>
        <v>F800-20-0765-(AR 2.4)</v>
      </c>
      <c r="E1013" s="3" t="str">
        <f>"Timothy goes to school"</f>
        <v>Timothy goes to school</v>
      </c>
      <c r="F1013" s="3" t="str">
        <f>"Rosemary Wells"</f>
        <v>Rosemary Wells</v>
      </c>
      <c r="G1013" s="3" t="str">
        <f>"Puffin Books"</f>
        <v>Puffin Books</v>
      </c>
      <c r="H1013" s="2" t="str">
        <f>"2000"</f>
        <v>2000</v>
      </c>
      <c r="I1013" s="3" t="str">
        <f>""</f>
        <v/>
      </c>
    </row>
    <row r="1014" spans="1:9" x14ac:dyDescent="0.3">
      <c r="A1014" s="2">
        <v>1013</v>
      </c>
      <c r="B1014" s="4" t="s">
        <v>25</v>
      </c>
      <c r="C1014" s="3" t="str">
        <f>"TFC000000696"</f>
        <v>TFC000000696</v>
      </c>
      <c r="D1014" s="3" t="str">
        <f>"F800-20-0766-(AR 2.4)"</f>
        <v>F800-20-0766-(AR 2.4)</v>
      </c>
      <c r="E1014" s="3" t="str">
        <f>"Boom chicka rock"</f>
        <v>Boom chicka rock</v>
      </c>
      <c r="F1014" s="3" t="str">
        <f>"John Archambault ; illustrated by Suzanne Tanner Chitwood"</f>
        <v>John Archambault ; illustrated by Suzanne Tanner Chitwood</v>
      </c>
      <c r="G1014" s="3" t="str">
        <f>"Philomel Books"</f>
        <v>Philomel Books</v>
      </c>
      <c r="H1014" s="2" t="str">
        <f>"2004"</f>
        <v>2004</v>
      </c>
      <c r="I1014" s="3" t="str">
        <f>""</f>
        <v/>
      </c>
    </row>
    <row r="1015" spans="1:9" x14ac:dyDescent="0.3">
      <c r="A1015" s="2">
        <v>1014</v>
      </c>
      <c r="B1015" s="4" t="s">
        <v>25</v>
      </c>
      <c r="C1015" s="3" t="str">
        <f>"TFC000000697"</f>
        <v>TFC000000697</v>
      </c>
      <c r="D1015" s="3" t="str">
        <f>"F800-20-0767-(AR 2.4)"</f>
        <v>F800-20-0767-(AR 2.4)</v>
      </c>
      <c r="E1015" s="3" t="str">
        <f>"(A)friend for Henry"</f>
        <v>(A)friend for Henry</v>
      </c>
      <c r="F1015" s="3" t="str">
        <f>"by Jenn Bailey ; illustrated by Mika Song"</f>
        <v>by Jenn Bailey ; illustrated by Mika Song</v>
      </c>
      <c r="G1015" s="3" t="str">
        <f>"Chronicle Books"</f>
        <v>Chronicle Books</v>
      </c>
      <c r="H1015" s="2" t="str">
        <f>"2019"</f>
        <v>2019</v>
      </c>
      <c r="I1015" s="3" t="str">
        <f>""</f>
        <v/>
      </c>
    </row>
    <row r="1016" spans="1:9" x14ac:dyDescent="0.3">
      <c r="A1016" s="2">
        <v>1015</v>
      </c>
      <c r="B1016" s="4" t="s">
        <v>25</v>
      </c>
      <c r="C1016" s="3" t="str">
        <f>"TFC000000698"</f>
        <v>TFC000000698</v>
      </c>
      <c r="D1016" s="3" t="str">
        <f>"F800-20-0768-(AR 2.4)"</f>
        <v>F800-20-0768-(AR 2.4)</v>
      </c>
      <c r="E1016" s="3" t="str">
        <f>"Not Norman : a goldfish story"</f>
        <v>Not Norman : a goldfish story</v>
      </c>
      <c r="F1016" s="3" t="str">
        <f>"Kelly Bennett ; illustrated by Noah Z. Jones"</f>
        <v>Kelly Bennett ; illustrated by Noah Z. Jones</v>
      </c>
      <c r="G1016" s="3" t="str">
        <f>"Candlewick Press"</f>
        <v>Candlewick Press</v>
      </c>
      <c r="H1016" s="2" t="str">
        <f>"2008"</f>
        <v>2008</v>
      </c>
      <c r="I1016" s="3" t="str">
        <f>""</f>
        <v/>
      </c>
    </row>
    <row r="1017" spans="1:9" x14ac:dyDescent="0.3">
      <c r="A1017" s="2">
        <v>1016</v>
      </c>
      <c r="B1017" s="4" t="s">
        <v>25</v>
      </c>
      <c r="C1017" s="3" t="str">
        <f>"TFC000000699"</f>
        <v>TFC000000699</v>
      </c>
      <c r="D1017" s="3" t="str">
        <f>"F800-20-0769-(AR 2.4)"</f>
        <v>F800-20-0769-(AR 2.4)</v>
      </c>
      <c r="E1017" s="3" t="str">
        <f>"(The)return of Thelma the unicorn"</f>
        <v>(The)return of Thelma the unicorn</v>
      </c>
      <c r="F1017" s="3" t="str">
        <f>"Aaron Blabey"</f>
        <v>Aaron Blabey</v>
      </c>
      <c r="G1017" s="3" t="str">
        <f>"Scholastic Press"</f>
        <v>Scholastic Press</v>
      </c>
      <c r="H1017" s="2" t="str">
        <f>"2020"</f>
        <v>2020</v>
      </c>
      <c r="I1017" s="3" t="str">
        <f>""</f>
        <v/>
      </c>
    </row>
    <row r="1018" spans="1:9" x14ac:dyDescent="0.3">
      <c r="A1018" s="2">
        <v>1017</v>
      </c>
      <c r="B1018" s="4" t="s">
        <v>25</v>
      </c>
      <c r="C1018" s="3" t="str">
        <f>"TFC000000700"</f>
        <v>TFC000000700</v>
      </c>
      <c r="D1018" s="3" t="str">
        <f>"F800-20-0770-(AR 2.4)"</f>
        <v>F800-20-0770-(AR 2.4)</v>
      </c>
      <c r="E1018" s="3" t="str">
        <f>"Bear at work"</f>
        <v>Bear at work</v>
      </c>
      <c r="F1018" s="3" t="str">
        <f>"written by Stella Blackstone ; illustrated by Debbie Harter"</f>
        <v>written by Stella Blackstone ; illustrated by Debbie Harter</v>
      </c>
      <c r="G1018" s="3" t="str">
        <f>"Barefoot Boks"</f>
        <v>Barefoot Boks</v>
      </c>
      <c r="H1018" s="2" t="str">
        <f>"2008"</f>
        <v>2008</v>
      </c>
      <c r="I1018" s="3" t="str">
        <f>""</f>
        <v/>
      </c>
    </row>
    <row r="1019" spans="1:9" x14ac:dyDescent="0.3">
      <c r="A1019" s="2">
        <v>1018</v>
      </c>
      <c r="B1019" s="4" t="s">
        <v>25</v>
      </c>
      <c r="C1019" s="3" t="str">
        <f>"TFC000000701"</f>
        <v>TFC000000701</v>
      </c>
      <c r="D1019" s="3" t="str">
        <f>"F800-20-0771-(AR 2.4)"</f>
        <v>F800-20-0771-(AR 2.4)</v>
      </c>
      <c r="E1019" s="3" t="str">
        <f>"Dogerella"</f>
        <v>Dogerella</v>
      </c>
      <c r="F1019" s="3" t="str">
        <f>"by Maribeth Boelts ; illustrated by Donald Wu"</f>
        <v>by Maribeth Boelts ; illustrated by Donald Wu</v>
      </c>
      <c r="G1019" s="3" t="str">
        <f>"Random House"</f>
        <v>Random House</v>
      </c>
      <c r="H1019" s="2" t="str">
        <f>"2008"</f>
        <v>2008</v>
      </c>
      <c r="I1019" s="3" t="str">
        <f>""</f>
        <v/>
      </c>
    </row>
    <row r="1020" spans="1:9" x14ac:dyDescent="0.3">
      <c r="A1020" s="2">
        <v>1019</v>
      </c>
      <c r="B1020" s="4" t="s">
        <v>25</v>
      </c>
      <c r="C1020" s="3" t="str">
        <f>"TFC000000702"</f>
        <v>TFC000000702</v>
      </c>
      <c r="D1020" s="3" t="str">
        <f>"F800-20-0772-(AR 2.4)"</f>
        <v>F800-20-0772-(AR 2.4)</v>
      </c>
      <c r="E1020" s="3" t="str">
        <f>"(The)witch goes to school"</f>
        <v>(The)witch goes to school</v>
      </c>
      <c r="F1020" s="3" t="str">
        <f>"by Norman Bridwell"</f>
        <v>by Norman Bridwell</v>
      </c>
      <c r="G1020" s="3" t="str">
        <f>"Scholastic"</f>
        <v>Scholastic</v>
      </c>
      <c r="H1020" s="2" t="str">
        <f>"2003"</f>
        <v>2003</v>
      </c>
      <c r="I1020" s="3" t="str">
        <f>""</f>
        <v/>
      </c>
    </row>
    <row r="1021" spans="1:9" x14ac:dyDescent="0.3">
      <c r="A1021" s="2">
        <v>1020</v>
      </c>
      <c r="B1021" s="4" t="s">
        <v>25</v>
      </c>
      <c r="C1021" s="3" t="str">
        <f>"TFC000000703"</f>
        <v>TFC000000703</v>
      </c>
      <c r="D1021" s="3" t="str">
        <f>"F800-20-0773-(AR 2.4)"</f>
        <v>F800-20-0773-(AR 2.4)</v>
      </c>
      <c r="E1021" s="3" t="str">
        <f>"Flat stanley and the firehouse"</f>
        <v>Flat stanley and the firehouse</v>
      </c>
      <c r="F1021" s="3" t="str">
        <f>"created by Jeff Brown ; written by Lori Haskins Houran ; pictures by Macky Pamintuan"</f>
        <v>created by Jeff Brown ; written by Lori Haskins Houran ; pictures by Macky Pamintuan</v>
      </c>
      <c r="G1021" s="3" t="str">
        <f>"Harper"</f>
        <v>Harper</v>
      </c>
      <c r="H1021" s="2" t="str">
        <f>"2011"</f>
        <v>2011</v>
      </c>
      <c r="I1021" s="3" t="str">
        <f>""</f>
        <v/>
      </c>
    </row>
    <row r="1022" spans="1:9" x14ac:dyDescent="0.3">
      <c r="A1022" s="2">
        <v>1021</v>
      </c>
      <c r="B1022" s="4" t="s">
        <v>25</v>
      </c>
      <c r="C1022" s="3" t="str">
        <f>"TFC000000704"</f>
        <v>TFC000000704</v>
      </c>
      <c r="D1022" s="3" t="str">
        <f>"F800-20-0774-(AR 2.4)"</f>
        <v>F800-20-0774-(AR 2.4)</v>
      </c>
      <c r="E1022" s="3" t="str">
        <f>"Rory the dinosaur me and my dad"</f>
        <v>Rory the dinosaur me and my dad</v>
      </c>
      <c r="F1022" s="3" t="str">
        <f>"Liz Climo"</f>
        <v>Liz Climo</v>
      </c>
      <c r="G1022" s="3" t="str">
        <f>"Little, Brown and Company"</f>
        <v>Little, Brown and Company</v>
      </c>
      <c r="H1022" s="2" t="str">
        <f>"2015"</f>
        <v>2015</v>
      </c>
      <c r="I1022" s="3" t="str">
        <f>""</f>
        <v/>
      </c>
    </row>
    <row r="1023" spans="1:9" x14ac:dyDescent="0.3">
      <c r="A1023" s="2">
        <v>1022</v>
      </c>
      <c r="B1023" s="4" t="s">
        <v>25</v>
      </c>
      <c r="C1023" s="3" t="str">
        <f>"TFC000000705"</f>
        <v>TFC000000705</v>
      </c>
      <c r="D1023" s="3" t="str">
        <f>"F800-20-0775-(AR 2.4)"</f>
        <v>F800-20-0775-(AR 2.4)</v>
      </c>
      <c r="E1023" s="3" t="str">
        <f>"Click, clack, surprise!"</f>
        <v>Click, clack, surprise!</v>
      </c>
      <c r="F1023" s="3" t="str">
        <f>"Doreen Cronin ; illustrated by Betsy Lewin"</f>
        <v>Doreen Cronin ; illustrated by Betsy Lewin</v>
      </c>
      <c r="G1023" s="3" t="str">
        <f>"Simon Spotlight"</f>
        <v>Simon Spotlight</v>
      </c>
      <c r="H1023" s="2" t="str">
        <f>"2019"</f>
        <v>2019</v>
      </c>
      <c r="I1023" s="3" t="str">
        <f>""</f>
        <v/>
      </c>
    </row>
    <row r="1024" spans="1:9" x14ac:dyDescent="0.3">
      <c r="A1024" s="2">
        <v>1023</v>
      </c>
      <c r="B1024" s="4" t="s">
        <v>25</v>
      </c>
      <c r="C1024" s="3" t="str">
        <f>"TFC000000706"</f>
        <v>TFC000000706</v>
      </c>
      <c r="D1024" s="3" t="str">
        <f>"F800-20-0776-(AR 2.4)"</f>
        <v>F800-20-0776-(AR 2.4)</v>
      </c>
      <c r="E1024" s="3" t="str">
        <f>"Hooray for reading day!"</f>
        <v>Hooray for reading day!</v>
      </c>
      <c r="F1024" s="3" t="str">
        <f>"by Margery Cuyler ; illustrated by Arthur Howard"</f>
        <v>by Margery Cuyler ; illustrated by Arthur Howard</v>
      </c>
      <c r="G1024" s="3" t="str">
        <f>"Scholastic"</f>
        <v>Scholastic</v>
      </c>
      <c r="H1024" s="2" t="str">
        <f>"2008"</f>
        <v>2008</v>
      </c>
      <c r="I1024" s="3" t="str">
        <f>""</f>
        <v/>
      </c>
    </row>
    <row r="1025" spans="1:9" x14ac:dyDescent="0.3">
      <c r="A1025" s="2">
        <v>1024</v>
      </c>
      <c r="B1025" s="4" t="s">
        <v>25</v>
      </c>
      <c r="C1025" s="3" t="str">
        <f>"TFC000000707"</f>
        <v>TFC000000707</v>
      </c>
      <c r="D1025" s="3" t="str">
        <f>"F800-20-0777-(AR 2.4)"</f>
        <v>F800-20-0777-(AR 2.4)</v>
      </c>
      <c r="E1025" s="3" t="str">
        <f>"First day jitters"</f>
        <v>First day jitters</v>
      </c>
      <c r="F1025" s="3" t="str">
        <f>"Julie Danneberg ; illustrated by Judith Love"</f>
        <v>Julie Danneberg ; illustrated by Judith Love</v>
      </c>
      <c r="G1025" s="3" t="str">
        <f>"Charlesbridge"</f>
        <v>Charlesbridge</v>
      </c>
      <c r="H1025" s="2" t="str">
        <f>"2000"</f>
        <v>2000</v>
      </c>
      <c r="I1025" s="3" t="str">
        <f>""</f>
        <v/>
      </c>
    </row>
    <row r="1026" spans="1:9" x14ac:dyDescent="0.3">
      <c r="A1026" s="2">
        <v>1025</v>
      </c>
      <c r="B1026" s="4" t="s">
        <v>25</v>
      </c>
      <c r="C1026" s="3" t="str">
        <f>"TFC000000708"</f>
        <v>TFC000000708</v>
      </c>
      <c r="D1026" s="3" t="str">
        <f>"F800-20-0778-(AR 2.4)"</f>
        <v>F800-20-0778-(AR 2.4)</v>
      </c>
      <c r="E1026" s="3" t="str">
        <f>"Friends don't eat friends"</f>
        <v>Friends don't eat friends</v>
      </c>
      <c r="F1026" s="3" t="str">
        <f>"written by Ame Dyckman ; illustrated by Scott Magoon"</f>
        <v>written by Ame Dyckman ; illustrated by Scott Magoon</v>
      </c>
      <c r="G1026" s="3" t="str">
        <f>"Orchard Books"</f>
        <v>Orchard Books</v>
      </c>
      <c r="H1026" s="2" t="str">
        <f>"2019"</f>
        <v>2019</v>
      </c>
      <c r="I1026" s="3" t="str">
        <f>""</f>
        <v/>
      </c>
    </row>
    <row r="1027" spans="1:9" x14ac:dyDescent="0.3">
      <c r="A1027" s="2">
        <v>1026</v>
      </c>
      <c r="B1027" s="4" t="s">
        <v>25</v>
      </c>
      <c r="C1027" s="3" t="str">
        <f>"TFC000000710"</f>
        <v>TFC000000710</v>
      </c>
      <c r="D1027" s="3" t="str">
        <f>"F800-20-0780-(AR 2.4)"</f>
        <v>F800-20-0780-(AR 2.4)</v>
      </c>
      <c r="E1027" s="3" t="str">
        <f>"(The)boy and the whale"</f>
        <v>(The)boy and the whale</v>
      </c>
      <c r="F1027" s="3" t="str">
        <f>"Mordicai Gerstein"</f>
        <v>Mordicai Gerstein</v>
      </c>
      <c r="G1027" s="3" t="str">
        <f>"Roaring Brook Press"</f>
        <v>Roaring Brook Press</v>
      </c>
      <c r="H1027" s="2" t="str">
        <f>"2017"</f>
        <v>2017</v>
      </c>
      <c r="I1027" s="3" t="str">
        <f>""</f>
        <v/>
      </c>
    </row>
    <row r="1028" spans="1:9" x14ac:dyDescent="0.3">
      <c r="A1028" s="2">
        <v>1027</v>
      </c>
      <c r="B1028" s="4" t="s">
        <v>25</v>
      </c>
      <c r="C1028" s="3" t="str">
        <f>"TFC000000711"</f>
        <v>TFC000000711</v>
      </c>
      <c r="D1028" s="3" t="str">
        <f>"F800-20-0781-(AR 2.4)"</f>
        <v>F800-20-0781-(AR 2.4)</v>
      </c>
      <c r="E1028" s="3" t="str">
        <f>"(A)very Marley Christmas"</f>
        <v>(A)very Marley Christmas</v>
      </c>
      <c r="F1028" s="3" t="str">
        <f>"John Grogan ; illustrated by Richard Cowdrey"</f>
        <v>John Grogan ; illustrated by Richard Cowdrey</v>
      </c>
      <c r="G1028" s="3" t="str">
        <f>"HarperCollins Publishers"</f>
        <v>HarperCollins Publishers</v>
      </c>
      <c r="H1028" s="2" t="str">
        <f>"2008"</f>
        <v>2008</v>
      </c>
      <c r="I1028" s="3" t="str">
        <f>""</f>
        <v/>
      </c>
    </row>
    <row r="1029" spans="1:9" x14ac:dyDescent="0.3">
      <c r="A1029" s="2">
        <v>1028</v>
      </c>
      <c r="B1029" s="4" t="s">
        <v>25</v>
      </c>
      <c r="C1029" s="3" t="str">
        <f>"TFC000000712"</f>
        <v>TFC000000712</v>
      </c>
      <c r="D1029" s="3" t="str">
        <f>"F800-20-0782-(AR 2.4)"</f>
        <v>F800-20-0782-(AR 2.4)</v>
      </c>
      <c r="E1029" s="3" t="str">
        <f>"Johnny Appleseed : my story"</f>
        <v>Johnny Appleseed : my story</v>
      </c>
      <c r="F1029" s="3" t="str">
        <f>"by David L. Harrison ; illustrated by Mike Wohnoutka"</f>
        <v>by David L. Harrison ; illustrated by Mike Wohnoutka</v>
      </c>
      <c r="G1029" s="3" t="str">
        <f>"Random House"</f>
        <v>Random House</v>
      </c>
      <c r="H1029" s="2" t="str">
        <f>"2001"</f>
        <v>2001</v>
      </c>
      <c r="I1029" s="3" t="str">
        <f>""</f>
        <v/>
      </c>
    </row>
    <row r="1030" spans="1:9" x14ac:dyDescent="0.3">
      <c r="A1030" s="2">
        <v>1029</v>
      </c>
      <c r="B1030" s="4" t="s">
        <v>25</v>
      </c>
      <c r="C1030" s="3" t="str">
        <f>"TFC000000713"</f>
        <v>TFC000000713</v>
      </c>
      <c r="D1030" s="3" t="str">
        <f>"F800-20-0783-(AR 2.4)"</f>
        <v>F800-20-0783-(AR 2.4)</v>
      </c>
      <c r="E1030" s="3" t="str">
        <f>"Owen"</f>
        <v>Owen</v>
      </c>
      <c r="F1030" s="3" t="str">
        <f>"Kevin Henkes"</f>
        <v>Kevin Henkes</v>
      </c>
      <c r="G1030" s="3" t="str">
        <f>"Greenwillow Books"</f>
        <v>Greenwillow Books</v>
      </c>
      <c r="H1030" s="2" t="str">
        <f>"1993"</f>
        <v>1993</v>
      </c>
      <c r="I1030" s="3" t="str">
        <f>""</f>
        <v/>
      </c>
    </row>
    <row r="1031" spans="1:9" x14ac:dyDescent="0.3">
      <c r="A1031" s="2">
        <v>1030</v>
      </c>
      <c r="B1031" s="4" t="s">
        <v>25</v>
      </c>
      <c r="C1031" s="3" t="str">
        <f>"TFC000000714"</f>
        <v>TFC000000714</v>
      </c>
      <c r="D1031" s="3" t="str">
        <f>"F800-20-0784-(AR 2.4)"</f>
        <v>F800-20-0784-(AR 2.4)</v>
      </c>
      <c r="E1031" s="3" t="str">
        <f>"(A)quarter from the tooth fairy"</f>
        <v>(A)quarter from the tooth fairy</v>
      </c>
      <c r="F1031" s="3" t="str">
        <f>"by Caren Holtzman ; illustrated by Betsy Day"</f>
        <v>by Caren Holtzman ; illustrated by Betsy Day</v>
      </c>
      <c r="G1031" s="3" t="str">
        <f>"Scholastic"</f>
        <v>Scholastic</v>
      </c>
      <c r="H1031" s="2" t="str">
        <f>"2003"</f>
        <v>2003</v>
      </c>
      <c r="I1031" s="3" t="str">
        <f>""</f>
        <v/>
      </c>
    </row>
    <row r="1032" spans="1:9" x14ac:dyDescent="0.3">
      <c r="A1032" s="2">
        <v>1031</v>
      </c>
      <c r="B1032" s="4" t="s">
        <v>25</v>
      </c>
      <c r="C1032" s="3" t="str">
        <f>"TFC000000715"</f>
        <v>TFC000000715</v>
      </c>
      <c r="D1032" s="3" t="str">
        <f>"F800-20-0785-(AR 2.4)"</f>
        <v>F800-20-0785-(AR 2.4)</v>
      </c>
      <c r="E1032" s="3" t="str">
        <f>"Dutch adventure"</f>
        <v>Dutch adventure</v>
      </c>
      <c r="F1032" s="3" t="str">
        <f>"written by Roderick Hunt ; illustrated by Alex Brychta"</f>
        <v>written by Roderick Hunt ; illustrated by Alex Brychta</v>
      </c>
      <c r="G1032" s="3" t="str">
        <f>"Oxford University Press"</f>
        <v>Oxford University Press</v>
      </c>
      <c r="H1032" s="2" t="str">
        <f>"2011"</f>
        <v>2011</v>
      </c>
      <c r="I1032" s="3" t="str">
        <f>""</f>
        <v/>
      </c>
    </row>
    <row r="1033" spans="1:9" x14ac:dyDescent="0.3">
      <c r="A1033" s="2">
        <v>1032</v>
      </c>
      <c r="B1033" s="4" t="s">
        <v>25</v>
      </c>
      <c r="C1033" s="3" t="str">
        <f>"TFC000000716"</f>
        <v>TFC000000716</v>
      </c>
      <c r="D1033" s="3" t="str">
        <f>"F800-20-0786-(AR 2.4)"</f>
        <v>F800-20-0786-(AR 2.4)</v>
      </c>
      <c r="E1033" s="3" t="str">
        <f>"Flood!"</f>
        <v>Flood!</v>
      </c>
      <c r="F1033" s="3" t="str">
        <f>"written by Roderick Hunt ; illustrated by Alex Brychta"</f>
        <v>written by Roderick Hunt ; illustrated by Alex Brychta</v>
      </c>
      <c r="G1033" s="3" t="str">
        <f>"Oxford University Press"</f>
        <v>Oxford University Press</v>
      </c>
      <c r="H1033" s="2" t="str">
        <f>"2011"</f>
        <v>2011</v>
      </c>
      <c r="I1033" s="3" t="str">
        <f>""</f>
        <v/>
      </c>
    </row>
    <row r="1034" spans="1:9" x14ac:dyDescent="0.3">
      <c r="A1034" s="2">
        <v>1033</v>
      </c>
      <c r="B1034" s="4" t="s">
        <v>25</v>
      </c>
      <c r="C1034" s="3" t="str">
        <f>"TFC000000717"</f>
        <v>TFC000000717</v>
      </c>
      <c r="D1034" s="3" t="str">
        <f>"F800-20-0787-(AR 2.4)"</f>
        <v>F800-20-0787-(AR 2.4)</v>
      </c>
      <c r="E1034" s="3" t="str">
        <f>"(The)kidnappers"</f>
        <v>(The)kidnappers</v>
      </c>
      <c r="F1034" s="3" t="str">
        <f>"written by Roderick Hunt ; illustrated by Alex Brychta"</f>
        <v>written by Roderick Hunt ; illustrated by Alex Brychta</v>
      </c>
      <c r="G1034" s="3" t="str">
        <f>"Oxford University Press"</f>
        <v>Oxford University Press</v>
      </c>
      <c r="H1034" s="2" t="str">
        <f>"2011"</f>
        <v>2011</v>
      </c>
      <c r="I1034" s="3" t="str">
        <f>""</f>
        <v/>
      </c>
    </row>
    <row r="1035" spans="1:9" x14ac:dyDescent="0.3">
      <c r="A1035" s="2">
        <v>1034</v>
      </c>
      <c r="B1035" s="4" t="s">
        <v>25</v>
      </c>
      <c r="C1035" s="3" t="str">
        <f>"TFC000000718"</f>
        <v>TFC000000718</v>
      </c>
      <c r="D1035" s="3" t="str">
        <f>"F800-20-0788-(AR 2.4)"</f>
        <v>F800-20-0788-(AR 2.4)</v>
      </c>
      <c r="E1035" s="3" t="str">
        <f>"Rescue!"</f>
        <v>Rescue!</v>
      </c>
      <c r="F1035" s="3" t="str">
        <f>"written by Roderick Hunt ; illustrated by Alex Brychta"</f>
        <v>written by Roderick Hunt ; illustrated by Alex Brychta</v>
      </c>
      <c r="G1035" s="3" t="str">
        <f>"Oxford University Press"</f>
        <v>Oxford University Press</v>
      </c>
      <c r="H1035" s="2" t="str">
        <f>"2011"</f>
        <v>2011</v>
      </c>
      <c r="I1035" s="3" t="str">
        <f>""</f>
        <v/>
      </c>
    </row>
    <row r="1036" spans="1:9" x14ac:dyDescent="0.3">
      <c r="A1036" s="2">
        <v>1035</v>
      </c>
      <c r="B1036" s="4" t="s">
        <v>25</v>
      </c>
      <c r="C1036" s="3" t="str">
        <f>"TFC000000719"</f>
        <v>TFC000000719</v>
      </c>
      <c r="D1036" s="3" t="str">
        <f>"F800-20-0789-(AR 2.4)"</f>
        <v>F800-20-0789-(AR 2.4)</v>
      </c>
      <c r="E1036" s="3" t="str">
        <f>"Giraffe problems"</f>
        <v>Giraffe problems</v>
      </c>
      <c r="F1036" s="3" t="str">
        <f>"by Jory John ; illustrated by Lane Smith"</f>
        <v>by Jory John ; illustrated by Lane Smith</v>
      </c>
      <c r="G1036" s="3" t="str">
        <f>"Random House"</f>
        <v>Random House</v>
      </c>
      <c r="H1036" s="2" t="str">
        <f>"2018"</f>
        <v>2018</v>
      </c>
      <c r="I1036" s="3" t="str">
        <f>""</f>
        <v/>
      </c>
    </row>
    <row r="1037" spans="1:9" x14ac:dyDescent="0.3">
      <c r="A1037" s="2">
        <v>1036</v>
      </c>
      <c r="B1037" s="4" t="s">
        <v>25</v>
      </c>
      <c r="C1037" s="3" t="str">
        <f>"TFC000000720"</f>
        <v>TFC000000720</v>
      </c>
      <c r="D1037" s="3" t="str">
        <f>"F800-20-0790-(AR 2.4)"</f>
        <v>F800-20-0790-(AR 2.4)</v>
      </c>
      <c r="E1037" s="3" t="str">
        <f>"Pinkalicious fairy house"</f>
        <v>Pinkalicious fairy house</v>
      </c>
      <c r="F1037" s="3" t="str">
        <f>"by Victoria Kann"</f>
        <v>by Victoria Kann</v>
      </c>
      <c r="G1037" s="3" t="str">
        <f>"Harper"</f>
        <v>Harper</v>
      </c>
      <c r="H1037" s="2" t="str">
        <f>"2013"</f>
        <v>2013</v>
      </c>
      <c r="I1037" s="3" t="str">
        <f>""</f>
        <v/>
      </c>
    </row>
    <row r="1038" spans="1:9" x14ac:dyDescent="0.3">
      <c r="A1038" s="2">
        <v>1037</v>
      </c>
      <c r="B1038" s="4" t="s">
        <v>25</v>
      </c>
      <c r="C1038" s="3" t="str">
        <f>"TFC000000721"</f>
        <v>TFC000000721</v>
      </c>
      <c r="D1038" s="3" t="str">
        <f>"F800-20-0791-(AR 2.4)"</f>
        <v>F800-20-0791-(AR 2.4)</v>
      </c>
      <c r="E1038" s="3" t="str">
        <f>"Sloppy Joe"</f>
        <v>Sloppy Joe</v>
      </c>
      <c r="F1038" s="3" t="str">
        <f>"by David Keane ; illustrated by Denise Brunkus"</f>
        <v>by David Keane ; illustrated by Denise Brunkus</v>
      </c>
      <c r="G1038" s="3" t="str">
        <f>"Harper"</f>
        <v>Harper</v>
      </c>
      <c r="H1038" s="2" t="str">
        <f>"2009"</f>
        <v>2009</v>
      </c>
      <c r="I1038" s="3" t="str">
        <f>""</f>
        <v/>
      </c>
    </row>
    <row r="1039" spans="1:9" x14ac:dyDescent="0.3">
      <c r="A1039" s="2">
        <v>1038</v>
      </c>
      <c r="B1039" s="4" t="s">
        <v>25</v>
      </c>
      <c r="C1039" s="3" t="str">
        <f>"TFC000000722"</f>
        <v>TFC000000722</v>
      </c>
      <c r="D1039" s="3" t="str">
        <f>"F800-20-0792-(AR 2.4)"</f>
        <v>F800-20-0792-(AR 2.4)</v>
      </c>
      <c r="E1039" s="3" t="str">
        <f>"Goodnight, hockey fans"</f>
        <v>Goodnight, hockey fans</v>
      </c>
      <c r="F1039" s="3" t="str">
        <f>"written by Andrew Larsen ; illustrated by Jacqui Lee"</f>
        <v>written by Andrew Larsen ; illustrated by Jacqui Lee</v>
      </c>
      <c r="G1039" s="3" t="str">
        <f>"Kids Can Press"</f>
        <v>Kids Can Press</v>
      </c>
      <c r="H1039" s="2" t="str">
        <f>"2017"</f>
        <v>2017</v>
      </c>
      <c r="I1039" s="3" t="str">
        <f>""</f>
        <v/>
      </c>
    </row>
    <row r="1040" spans="1:9" x14ac:dyDescent="0.3">
      <c r="A1040" s="2">
        <v>1039</v>
      </c>
      <c r="B1040" s="4" t="s">
        <v>25</v>
      </c>
      <c r="C1040" s="3" t="str">
        <f>"TFC000000723"</f>
        <v>TFC000000723</v>
      </c>
      <c r="D1040" s="3" t="str">
        <f>"F800-20-0793-(AR 2.4)"</f>
        <v>F800-20-0793-(AR 2.4)</v>
      </c>
      <c r="E1040" s="3" t="str">
        <f>"Froggy goes to school"</f>
        <v>Froggy goes to school</v>
      </c>
      <c r="F1040" s="3" t="str">
        <f>"by Jonathan London ; illustrated by Frank Remkiewicz"</f>
        <v>by Jonathan London ; illustrated by Frank Remkiewicz</v>
      </c>
      <c r="G1040" s="3" t="str">
        <f>"Puffin Books"</f>
        <v>Puffin Books</v>
      </c>
      <c r="H1040" s="2" t="str">
        <f>"1998"</f>
        <v>1998</v>
      </c>
      <c r="I1040" s="3" t="str">
        <f>""</f>
        <v/>
      </c>
    </row>
    <row r="1041" spans="1:9" x14ac:dyDescent="0.3">
      <c r="A1041" s="2">
        <v>1040</v>
      </c>
      <c r="B1041" s="4" t="s">
        <v>25</v>
      </c>
      <c r="C1041" s="3" t="str">
        <f>"TFC000000724"</f>
        <v>TFC000000724</v>
      </c>
      <c r="D1041" s="3" t="str">
        <f>"F800-20-0794-(AR 2.4)"</f>
        <v>F800-20-0794-(AR 2.4)</v>
      </c>
      <c r="E1041" s="3" t="str">
        <f>"Froggy's best christmas"</f>
        <v>Froggy's best christmas</v>
      </c>
      <c r="F1041" s="3" t="str">
        <f>"by Jonathan London ; illustrated by Frank Remkiewicz"</f>
        <v>by Jonathan London ; illustrated by Frank Remkiewicz</v>
      </c>
      <c r="G1041" s="3" t="str">
        <f>"Puffin Books"</f>
        <v>Puffin Books</v>
      </c>
      <c r="H1041" s="2" t="str">
        <f>"2002"</f>
        <v>2002</v>
      </c>
      <c r="I1041" s="3" t="str">
        <f>""</f>
        <v/>
      </c>
    </row>
    <row r="1042" spans="1:9" x14ac:dyDescent="0.3">
      <c r="A1042" s="2">
        <v>1041</v>
      </c>
      <c r="B1042" s="4" t="s">
        <v>25</v>
      </c>
      <c r="C1042" s="3" t="str">
        <f>"TFC000000725"</f>
        <v>TFC000000725</v>
      </c>
      <c r="D1042" s="3" t="str">
        <f>"F800-20-0795-(AR 2.4)"</f>
        <v>F800-20-0795-(AR 2.4)</v>
      </c>
      <c r="E1042" s="3" t="str">
        <f>"Flower girl Katie"</f>
        <v>Flower girl Katie</v>
      </c>
      <c r="F1042" s="3" t="str">
        <f>"by Fran Manushkin ; illustrated by Tammie Lyon"</f>
        <v>by Fran Manushkin ; illustrated by Tammie Lyon</v>
      </c>
      <c r="G1042" s="3" t="str">
        <f>"Picture Window Books"</f>
        <v>Picture Window Books</v>
      </c>
      <c r="H1042" s="2" t="str">
        <f>"2019"</f>
        <v>2019</v>
      </c>
      <c r="I1042" s="3" t="str">
        <f>""</f>
        <v/>
      </c>
    </row>
    <row r="1043" spans="1:9" x14ac:dyDescent="0.3">
      <c r="A1043" s="2">
        <v>1042</v>
      </c>
      <c r="B1043" s="4" t="s">
        <v>25</v>
      </c>
      <c r="C1043" s="3" t="str">
        <f>"TFC000000726"</f>
        <v>TFC000000726</v>
      </c>
      <c r="D1043" s="3" t="str">
        <f>"F800-20-0796-(AR 2.4)"</f>
        <v>F800-20-0796-(AR 2.4)</v>
      </c>
      <c r="E1043" s="3" t="str">
        <f>"Good morning, farmer carmen!"</f>
        <v>Good morning, farmer carmen!</v>
      </c>
      <c r="F1043" s="3" t="str">
        <f>"by Fran Manushkin ; illustrated by Laura Zarrin"</f>
        <v>by Fran Manushkin ; illustrated by Laura Zarrin</v>
      </c>
      <c r="G1043" s="3" t="str">
        <f>"Picture Window Books"</f>
        <v>Picture Window Books</v>
      </c>
      <c r="H1043" s="2" t="str">
        <f>"2020"</f>
        <v>2020</v>
      </c>
      <c r="I1043" s="3" t="str">
        <f>""</f>
        <v/>
      </c>
    </row>
    <row r="1044" spans="1:9" x14ac:dyDescent="0.3">
      <c r="A1044" s="2">
        <v>1043</v>
      </c>
      <c r="B1044" s="4" t="s">
        <v>25</v>
      </c>
      <c r="C1044" s="3" t="str">
        <f>"TFC000000727"</f>
        <v>TFC000000727</v>
      </c>
      <c r="D1044" s="3" t="str">
        <f>"F800-20-0797-(AR 2.4)"</f>
        <v>F800-20-0797-(AR 2.4)</v>
      </c>
      <c r="E1044" s="3" t="str">
        <f>"SuperHero ABC"</f>
        <v>SuperHero ABC</v>
      </c>
      <c r="F1044" s="3" t="str">
        <f>"by Bob McLeod"</f>
        <v>by Bob McLeod</v>
      </c>
      <c r="G1044" s="3" t="str">
        <f>"HarperCollins Publishers"</f>
        <v>HarperCollins Publishers</v>
      </c>
      <c r="H1044" s="2" t="str">
        <f>"2006"</f>
        <v>2006</v>
      </c>
      <c r="I1044" s="3" t="str">
        <f>""</f>
        <v/>
      </c>
    </row>
    <row r="1045" spans="1:9" x14ac:dyDescent="0.3">
      <c r="A1045" s="2">
        <v>1044</v>
      </c>
      <c r="B1045" s="4" t="s">
        <v>25</v>
      </c>
      <c r="C1045" s="3" t="str">
        <f>"TFC000000728"</f>
        <v>TFC000000728</v>
      </c>
      <c r="D1045" s="3" t="str">
        <f>"F800-20-0798-(AR 2.4)"</f>
        <v>F800-20-0798-(AR 2.4)</v>
      </c>
      <c r="E1045" s="3" t="str">
        <f>"Pilu of the woods"</f>
        <v>Pilu of the woods</v>
      </c>
      <c r="F1045" s="3" t="str">
        <f>"written,  illustrated,  colored,  lettered by Mai K. Nguyen ; edited by Robin Herrera ; designed by Kate Z. Stone"</f>
        <v>written,  illustrated,  colored,  lettered by Mai K. Nguyen ; edited by Robin Herrera ; designed by Kate Z. Stone</v>
      </c>
      <c r="G1045" s="3" t="str">
        <f>"Oni Press"</f>
        <v>Oni Press</v>
      </c>
      <c r="H1045" s="2" t="str">
        <f>"2019"</f>
        <v>2019</v>
      </c>
      <c r="I1045" s="3" t="str">
        <f>""</f>
        <v/>
      </c>
    </row>
    <row r="1046" spans="1:9" x14ac:dyDescent="0.3">
      <c r="A1046" s="2">
        <v>1045</v>
      </c>
      <c r="B1046" s="4" t="s">
        <v>25</v>
      </c>
      <c r="C1046" s="3" t="str">
        <f>"TFC000000729"</f>
        <v>TFC000000729</v>
      </c>
      <c r="D1046" s="3" t="str">
        <f>"F800-20-0799-(AR 2.4)"</f>
        <v>F800-20-0799-(AR 2.4)</v>
      </c>
      <c r="E1046" s="3" t="str">
        <f>"If you take a mouse to school"</f>
        <v>If you take a mouse to school</v>
      </c>
      <c r="F1046" s="3" t="str">
        <f>"by Laura Numeroff ; illustrated by Felicia Bond"</f>
        <v>by Laura Numeroff ; illustrated by Felicia Bond</v>
      </c>
      <c r="G1046" s="3" t="str">
        <f>"HarperCollins:JYbooks"</f>
        <v>HarperCollins:JYbooks</v>
      </c>
      <c r="H1046" s="2" t="str">
        <f>"2002"</f>
        <v>2002</v>
      </c>
      <c r="I1046" s="3" t="str">
        <f>""</f>
        <v/>
      </c>
    </row>
    <row r="1047" spans="1:9" x14ac:dyDescent="0.3">
      <c r="A1047" s="2">
        <v>1046</v>
      </c>
      <c r="B1047" s="4" t="s">
        <v>25</v>
      </c>
      <c r="C1047" s="3" t="str">
        <f>"TFC000000734"</f>
        <v>TFC000000734</v>
      </c>
      <c r="D1047" s="3" t="str">
        <f>"F800-20-0804-(AR 2.4)"</f>
        <v>F800-20-0804-(AR 2.4)</v>
      </c>
      <c r="E1047" s="3" t="str">
        <f>"Me and my fear"</f>
        <v>Me and my fear</v>
      </c>
      <c r="F1047" s="3" t="str">
        <f>"Francesca Sanna"</f>
        <v>Francesca Sanna</v>
      </c>
      <c r="G1047" s="3" t="str">
        <f>"Flying Eye Books"</f>
        <v>Flying Eye Books</v>
      </c>
      <c r="H1047" s="2" t="str">
        <f>"2018"</f>
        <v>2018</v>
      </c>
      <c r="I1047" s="3" t="str">
        <f>""</f>
        <v/>
      </c>
    </row>
    <row r="1048" spans="1:9" x14ac:dyDescent="0.3">
      <c r="A1048" s="2">
        <v>1047</v>
      </c>
      <c r="B1048" s="4" t="s">
        <v>25</v>
      </c>
      <c r="C1048" s="3" t="str">
        <f>"TFC000000736"</f>
        <v>TFC000000736</v>
      </c>
      <c r="D1048" s="3" t="str">
        <f>"F800-20-0806-(AR 2.4)"</f>
        <v>F800-20-0806-(AR 2.4)</v>
      </c>
      <c r="E1048" s="3" t="str">
        <f>"At the mountain's base"</f>
        <v>At the mountain's base</v>
      </c>
      <c r="F1048" s="3" t="str">
        <f>"by Traci Sorell ; illustrated by Weshoyot Alvitre"</f>
        <v>by Traci Sorell ; illustrated by Weshoyot Alvitre</v>
      </c>
      <c r="G1048" s="3" t="str">
        <f>"Kokila"</f>
        <v>Kokila</v>
      </c>
      <c r="H1048" s="2" t="str">
        <f>"2019"</f>
        <v>2019</v>
      </c>
      <c r="I1048" s="3" t="str">
        <f>""</f>
        <v/>
      </c>
    </row>
    <row r="1049" spans="1:9" x14ac:dyDescent="0.3">
      <c r="A1049" s="2">
        <v>1048</v>
      </c>
      <c r="B1049" s="4" t="s">
        <v>25</v>
      </c>
      <c r="C1049" s="3" t="str">
        <f>"TFC000000737"</f>
        <v>TFC000000737</v>
      </c>
      <c r="D1049" s="3" t="str">
        <f>"F800-20-0807-(AR 2.4)"</f>
        <v>F800-20-0807-(AR 2.4)</v>
      </c>
      <c r="E1049" s="3" t="str">
        <f>"Hush, little bunny"</f>
        <v>Hush, little bunny</v>
      </c>
      <c r="F1049" s="3" t="str">
        <f>"David Ezra Stein"</f>
        <v>David Ezra Stein</v>
      </c>
      <c r="G1049" s="3" t="str">
        <f>"Balzer + Bray"</f>
        <v>Balzer + Bray</v>
      </c>
      <c r="H1049" s="2" t="str">
        <f>"2019"</f>
        <v>2019</v>
      </c>
      <c r="I1049" s="3" t="str">
        <f>""</f>
        <v/>
      </c>
    </row>
    <row r="1050" spans="1:9" x14ac:dyDescent="0.3">
      <c r="A1050" s="2">
        <v>1049</v>
      </c>
      <c r="B1050" s="4" t="s">
        <v>25</v>
      </c>
      <c r="C1050" s="3" t="str">
        <f>"TFC000000739"</f>
        <v>TFC000000739</v>
      </c>
      <c r="D1050" s="3" t="str">
        <f>"F800-20-0809-(AR 2.4)"</f>
        <v>F800-20-0809-(AR 2.4)</v>
      </c>
      <c r="E1050" s="3" t="str">
        <f>"Owl babies"</f>
        <v>Owl babies</v>
      </c>
      <c r="F1050" s="3" t="str">
        <f>"written by Martin Waddell ; illustrated by Patrick Benson"</f>
        <v>written by Martin Waddell ; illustrated by Patrick Benson</v>
      </c>
      <c r="G1050" s="3" t="str">
        <f>"Walker Books"</f>
        <v>Walker Books</v>
      </c>
      <c r="H1050" s="2" t="str">
        <f>"1994"</f>
        <v>1994</v>
      </c>
      <c r="I1050" s="3" t="str">
        <f>""</f>
        <v/>
      </c>
    </row>
    <row r="1051" spans="1:9" x14ac:dyDescent="0.3">
      <c r="A1051" s="2">
        <v>1050</v>
      </c>
      <c r="B1051" s="4" t="s">
        <v>25</v>
      </c>
      <c r="C1051" s="3" t="str">
        <f>"TFC000000740"</f>
        <v>TFC000000740</v>
      </c>
      <c r="D1051" s="3" t="str">
        <f>"F800-20-0810-(AR 2.4)"</f>
        <v>F800-20-0810-(AR 2.4)</v>
      </c>
      <c r="E1051" s="3" t="str">
        <f>"Most Marshmallows"</f>
        <v>Most Marshmallows</v>
      </c>
      <c r="F1051" s="3" t="str">
        <f>"Rowboat Watkins"</f>
        <v>Rowboat Watkins</v>
      </c>
      <c r="G1051" s="3" t="str">
        <f>"Chronicle Books"</f>
        <v>Chronicle Books</v>
      </c>
      <c r="H1051" s="2" t="str">
        <f>"2019"</f>
        <v>2019</v>
      </c>
      <c r="I1051" s="3" t="str">
        <f>""</f>
        <v/>
      </c>
    </row>
    <row r="1052" spans="1:9" x14ac:dyDescent="0.3">
      <c r="A1052" s="2">
        <v>1051</v>
      </c>
      <c r="B1052" s="4" t="s">
        <v>25</v>
      </c>
      <c r="C1052" s="3" t="str">
        <f>"TFC000000741"</f>
        <v>TFC000000741</v>
      </c>
      <c r="D1052" s="3" t="str">
        <f>"F800-20-0811-(AR 2.4)"</f>
        <v>F800-20-0811-(AR 2.4)</v>
      </c>
      <c r="E1052" s="3" t="str">
        <f>"Knuffle Bunny too"</f>
        <v>Knuffle Bunny too</v>
      </c>
      <c r="F1052" s="3" t="str">
        <f>"by Mo Willems"</f>
        <v>by Mo Willems</v>
      </c>
      <c r="G1052" s="3" t="str">
        <f>"Walker Books"</f>
        <v>Walker Books</v>
      </c>
      <c r="H1052" s="2" t="str">
        <f>"2008"</f>
        <v>2008</v>
      </c>
      <c r="I1052" s="3" t="str">
        <f>""</f>
        <v/>
      </c>
    </row>
    <row r="1053" spans="1:9" x14ac:dyDescent="0.3">
      <c r="A1053" s="2">
        <v>1052</v>
      </c>
      <c r="B1053" s="4" t="s">
        <v>25</v>
      </c>
      <c r="C1053" s="3" t="str">
        <f>"TFC000000742"</f>
        <v>TFC000000742</v>
      </c>
      <c r="D1053" s="3" t="str">
        <f>"F800-20-0812-(AR 2.4)"</f>
        <v>F800-20-0812-(AR 2.4)</v>
      </c>
      <c r="E1053" s="3" t="str">
        <f>"(The)secret cat"</f>
        <v>(The)secret cat</v>
      </c>
      <c r="F1053" s="3" t="str">
        <f>"written and illustrated by Katarina Stromgard ; [English tranlation by Eerdmans Books for Young Readers]"</f>
        <v>written and illustrated by Katarina Stromgard ; [English tranlation by Eerdmans Books for Young Readers]</v>
      </c>
      <c r="G1053" s="3" t="str">
        <f>"Eerdmans Books for Young Readers"</f>
        <v>Eerdmans Books for Young Readers</v>
      </c>
      <c r="H1053" s="2" t="str">
        <f>"2019"</f>
        <v>2019</v>
      </c>
      <c r="I1053" s="3" t="str">
        <f>""</f>
        <v/>
      </c>
    </row>
    <row r="1054" spans="1:9" x14ac:dyDescent="0.3">
      <c r="A1054" s="2">
        <v>1053</v>
      </c>
      <c r="B1054" s="4" t="s">
        <v>25</v>
      </c>
      <c r="C1054" s="3" t="str">
        <f>"TFC000003806"</f>
        <v>TFC000003806</v>
      </c>
      <c r="D1054" s="3" t="str">
        <f>"F800-21-0237-(AR 2.4)"</f>
        <v>F800-21-0237-(AR 2.4)</v>
      </c>
      <c r="E1054" s="3" t="str">
        <f>"(The)Great Louweezie"</f>
        <v>(The)Great Louweezie</v>
      </c>
      <c r="F1054" s="3" t="str">
        <f>"by Erica S. Perl, illustrated by Chris Chatterton"</f>
        <v>by Erica S. Perl, illustrated by Chris Chatterton</v>
      </c>
      <c r="G1054" s="3" t="str">
        <f>"Penguin Workshop"</f>
        <v>Penguin Workshop</v>
      </c>
      <c r="H1054" s="2" t="str">
        <f>"2019"</f>
        <v>2019</v>
      </c>
      <c r="I1054" s="3" t="str">
        <f>""</f>
        <v/>
      </c>
    </row>
    <row r="1055" spans="1:9" x14ac:dyDescent="0.3">
      <c r="A1055" s="2">
        <v>1054</v>
      </c>
      <c r="B1055" s="4" t="s">
        <v>25</v>
      </c>
      <c r="C1055" s="3" t="str">
        <f>"TFC000003795"</f>
        <v>TFC000003795</v>
      </c>
      <c r="D1055" s="3" t="str">
        <f>"F800-21-0236-(AR 2.4)"</f>
        <v>F800-21-0236-(AR 2.4)</v>
      </c>
      <c r="E1055" s="3" t="str">
        <f>"Poppleton in fall"</f>
        <v>Poppleton in fall</v>
      </c>
      <c r="F1055" s="3" t="str">
        <f>"written by Newbery Medalist Cynthia Rylant ; illustrated by Mark Teague"</f>
        <v>written by Newbery Medalist Cynthia Rylant ; illustrated by Mark Teague</v>
      </c>
      <c r="G1055" s="3" t="str">
        <f>"Acorn/Scholastic Inc"</f>
        <v>Acorn/Scholastic Inc</v>
      </c>
      <c r="H1055" s="2" t="str">
        <f>"2020"</f>
        <v>2020</v>
      </c>
      <c r="I1055" s="3" t="str">
        <f>""</f>
        <v/>
      </c>
    </row>
    <row r="1056" spans="1:9" x14ac:dyDescent="0.3">
      <c r="A1056" s="2">
        <v>1055</v>
      </c>
      <c r="B1056" s="4" t="s">
        <v>25</v>
      </c>
      <c r="C1056" s="3" t="str">
        <f>"TFC000002835"</f>
        <v>TFC000002835</v>
      </c>
      <c r="D1056" s="3" t="str">
        <f>"F600-20-0744-(AR 2.4)"</f>
        <v>F600-20-0744-(AR 2.4)</v>
      </c>
      <c r="E1056" s="3" t="str">
        <f>"Let's talk basketball"</f>
        <v>Let's talk basketball</v>
      </c>
      <c r="F1056" s="3" t="str">
        <f>"by Amanda Miller"</f>
        <v>by Amanda Miller</v>
      </c>
      <c r="G1056" s="3" t="str">
        <f>"Scholastic"</f>
        <v>Scholastic</v>
      </c>
      <c r="H1056" s="2" t="str">
        <f>"2009"</f>
        <v>2009</v>
      </c>
      <c r="I1056" s="3" t="str">
        <f>""</f>
        <v/>
      </c>
    </row>
    <row r="1057" spans="1:9" x14ac:dyDescent="0.3">
      <c r="A1057" s="2">
        <v>1056</v>
      </c>
      <c r="B1057" s="4" t="s">
        <v>25</v>
      </c>
      <c r="C1057" s="3" t="str">
        <f>"TFC000002836"</f>
        <v>TFC000002836</v>
      </c>
      <c r="D1057" s="3" t="str">
        <f>"F800-20-0813-(AR 2.4)"</f>
        <v>F800-20-0813-(AR 2.4)</v>
      </c>
      <c r="E1057" s="3" t="str">
        <f>"Victorian adventure"</f>
        <v>Victorian adventure</v>
      </c>
      <c r="F1057" s="3" t="str">
        <f>"written by Roderick Hunt ; illustrated by Alex Brychta"</f>
        <v>written by Roderick Hunt ; illustrated by Alex Brychta</v>
      </c>
      <c r="G1057" s="3" t="str">
        <f>"Oxford University Press"</f>
        <v>Oxford University Press</v>
      </c>
      <c r="H1057" s="2" t="str">
        <f>"2011"</f>
        <v>2011</v>
      </c>
      <c r="I1057" s="3" t="str">
        <f>""</f>
        <v/>
      </c>
    </row>
    <row r="1058" spans="1:9" x14ac:dyDescent="0.3">
      <c r="A1058" s="2">
        <v>1057</v>
      </c>
      <c r="B1058" s="4" t="s">
        <v>25</v>
      </c>
      <c r="C1058" s="3" t="str">
        <f>"TFC000002938"</f>
        <v>TFC000002938</v>
      </c>
      <c r="D1058" s="3" t="str">
        <f>"F800-20-0814-(AR 2.4)"</f>
        <v>F800-20-0814-(AR 2.4)</v>
      </c>
      <c r="E1058" s="3" t="str">
        <f>"(The)three billy-goats gruff"</f>
        <v>(The)three billy-goats gruff</v>
      </c>
      <c r="F1058" s="3" t="str">
        <f>"by Ellen Appleby"</f>
        <v>by Ellen Appleby</v>
      </c>
      <c r="G1058" s="3" t="str">
        <f>"Scholastic"</f>
        <v>Scholastic</v>
      </c>
      <c r="H1058" s="2" t="str">
        <f>"1984"</f>
        <v>1984</v>
      </c>
      <c r="I1058" s="3" t="str">
        <f>""</f>
        <v/>
      </c>
    </row>
    <row r="1059" spans="1:9" x14ac:dyDescent="0.3">
      <c r="A1059" s="2">
        <v>1058</v>
      </c>
      <c r="B1059" s="4" t="s">
        <v>25</v>
      </c>
      <c r="C1059" s="3" t="str">
        <f>"TFC000002939"</f>
        <v>TFC000002939</v>
      </c>
      <c r="D1059" s="3" t="str">
        <f>"F800-20-0815-(AR 2.4)"</f>
        <v>F800-20-0815-(AR 2.4)</v>
      </c>
      <c r="E1059" s="3" t="str">
        <f>"Messy Bessey's family reunion"</f>
        <v>Messy Bessey's family reunion</v>
      </c>
      <c r="F1059" s="3" t="str">
        <f>"written by Patricia McKissack, Fredrick McKissack ; illustrated by Dana Regan"</f>
        <v>written by Patricia McKissack, Fredrick McKissack ; illustrated by Dana Regan</v>
      </c>
      <c r="G1059" s="3" t="str">
        <f>"Scholastic"</f>
        <v>Scholastic</v>
      </c>
      <c r="H1059" s="2" t="str">
        <f>"2001"</f>
        <v>2001</v>
      </c>
      <c r="I1059" s="3" t="str">
        <f>""</f>
        <v/>
      </c>
    </row>
    <row r="1060" spans="1:9" x14ac:dyDescent="0.3">
      <c r="A1060" s="2">
        <v>1059</v>
      </c>
      <c r="B1060" s="4" t="s">
        <v>25</v>
      </c>
      <c r="C1060" s="3" t="str">
        <f>"TFC000002940"</f>
        <v>TFC000002940</v>
      </c>
      <c r="D1060" s="3" t="str">
        <f>"F400-20-0742-(AR 2.4)"</f>
        <v>F400-20-0742-(AR 2.4)</v>
      </c>
      <c r="E1060" s="3" t="str">
        <f>"More or less"</f>
        <v>More or less</v>
      </c>
      <c r="F1060" s="3" t="str">
        <f>"by Stuart J. Murphy ; illustrated by David Wenzel"</f>
        <v>by Stuart J. Murphy ; illustrated by David Wenzel</v>
      </c>
      <c r="G1060" s="3" t="str">
        <f>"HarperCollins"</f>
        <v>HarperCollins</v>
      </c>
      <c r="H1060" s="2" t="str">
        <f>"2000"</f>
        <v>2000</v>
      </c>
      <c r="I1060" s="3" t="str">
        <f>""</f>
        <v/>
      </c>
    </row>
    <row r="1061" spans="1:9" x14ac:dyDescent="0.3">
      <c r="A1061" s="2">
        <v>1060</v>
      </c>
      <c r="B1061" s="4" t="s">
        <v>25</v>
      </c>
      <c r="C1061" s="3" t="str">
        <f>"TFC000002941"</f>
        <v>TFC000002941</v>
      </c>
      <c r="D1061" s="3" t="str">
        <f>"F800-20-0816-(AR 2.4)"</f>
        <v>F800-20-0816-(AR 2.4)</v>
      </c>
      <c r="E1061" s="3" t="str">
        <f>"Snow is my favourite and my best"</f>
        <v>Snow is my favourite and my best</v>
      </c>
      <c r="F1061" s="3" t="str">
        <f>"Lauren Child"</f>
        <v>Lauren Child</v>
      </c>
      <c r="G1061" s="3" t="str">
        <f>"Puffin"</f>
        <v>Puffin</v>
      </c>
      <c r="H1061" s="2" t="str">
        <f>"2014"</f>
        <v>2014</v>
      </c>
      <c r="I1061" s="3" t="str">
        <f>""</f>
        <v/>
      </c>
    </row>
    <row r="1062" spans="1:9" x14ac:dyDescent="0.3">
      <c r="A1062" s="2">
        <v>1061</v>
      </c>
      <c r="B1062" s="4" t="s">
        <v>25</v>
      </c>
      <c r="C1062" s="3" t="str">
        <f>"TFC000002985"</f>
        <v>TFC000002985</v>
      </c>
      <c r="D1062" s="3" t="str">
        <f>"F800-20-0817-(AR 2.4)"</f>
        <v>F800-20-0817-(AR 2.4)</v>
      </c>
      <c r="E1062" s="3" t="str">
        <f>"Penguin presses on"</f>
        <v>Penguin presses on</v>
      </c>
      <c r="F1062" s="3" t="str">
        <f>"by J.L. Anderson ; illustrated by Amanda Erb"</f>
        <v>by J.L. Anderson ; illustrated by Amanda Erb</v>
      </c>
      <c r="G1062" s="3" t="str">
        <f>"Rourke Educational Media"</f>
        <v>Rourke Educational Media</v>
      </c>
      <c r="H1062" s="2" t="str">
        <f>"2020"</f>
        <v>2020</v>
      </c>
      <c r="I1062" s="3" t="str">
        <f>""</f>
        <v/>
      </c>
    </row>
    <row r="1063" spans="1:9" x14ac:dyDescent="0.3">
      <c r="A1063" s="2">
        <v>1062</v>
      </c>
      <c r="B1063" s="4" t="s">
        <v>25</v>
      </c>
      <c r="C1063" s="3" t="str">
        <f>"TFC000002995"</f>
        <v>TFC000002995</v>
      </c>
      <c r="D1063" s="3" t="str">
        <f>"F800-20-0818-(AR 2.4)"</f>
        <v>F800-20-0818-(AR 2.4)</v>
      </c>
      <c r="E1063" s="3" t="str">
        <f>"Attack of the cute"</f>
        <v>Attack of the cute</v>
      </c>
      <c r="F1063" s="3" t="str">
        <f>"by Jaclyn Jaycox ; illustrated by Marilisa Cotroneo"</f>
        <v>by Jaclyn Jaycox ; illustrated by Marilisa Cotroneo</v>
      </c>
      <c r="G1063" s="3" t="str">
        <f>"Picture Window Books"</f>
        <v>Picture Window Books</v>
      </c>
      <c r="H1063" s="2" t="str">
        <f>"2020"</f>
        <v>2020</v>
      </c>
      <c r="I1063" s="3" t="str">
        <f>""</f>
        <v/>
      </c>
    </row>
    <row r="1064" spans="1:9" x14ac:dyDescent="0.3">
      <c r="A1064" s="2">
        <v>1063</v>
      </c>
      <c r="B1064" s="4" t="s">
        <v>25</v>
      </c>
      <c r="C1064" s="3" t="str">
        <f>"TFC000003004"</f>
        <v>TFC000003004</v>
      </c>
      <c r="D1064" s="3" t="str">
        <f>"F800-20-0819-(AR 2.4)"</f>
        <v>F800-20-0819-(AR 2.4)</v>
      </c>
      <c r="E1064" s="3" t="str">
        <f>"(The)best baker"</f>
        <v>(The)best baker</v>
      </c>
      <c r="F1064" s="3" t="str">
        <f>"by Fran Manushkin ; illustrated by Laura Zarrin"</f>
        <v>by Fran Manushkin ; illustrated by Laura Zarrin</v>
      </c>
      <c r="G1064" s="3" t="str">
        <f>"Picture Window Books"</f>
        <v>Picture Window Books</v>
      </c>
      <c r="H1064" s="2" t="str">
        <f>"2020"</f>
        <v>2020</v>
      </c>
      <c r="I1064" s="3" t="str">
        <f>""</f>
        <v/>
      </c>
    </row>
    <row r="1065" spans="1:9" x14ac:dyDescent="0.3">
      <c r="A1065" s="2">
        <v>1064</v>
      </c>
      <c r="B1065" s="4" t="s">
        <v>25</v>
      </c>
      <c r="C1065" s="3" t="str">
        <f>"TFC000003007"</f>
        <v>TFC000003007</v>
      </c>
      <c r="D1065" s="3" t="str">
        <f>"F800-20-0820-(AR 2.4)"</f>
        <v>F800-20-0820-(AR 2.4)</v>
      </c>
      <c r="E1065" s="3" t="str">
        <f>"(A)piglet named Mercy"</f>
        <v>(A)piglet named Mercy</v>
      </c>
      <c r="F1065" s="3" t="str">
        <f>"Kate DiCamillo ; illustrated by Chris Van Dusen"</f>
        <v>Kate DiCamillo ; illustrated by Chris Van Dusen</v>
      </c>
      <c r="G1065" s="3" t="str">
        <f>"Candlewick Press"</f>
        <v>Candlewick Press</v>
      </c>
      <c r="H1065" s="2" t="str">
        <f>"2019"</f>
        <v>2019</v>
      </c>
      <c r="I1065" s="3" t="str">
        <f>""</f>
        <v/>
      </c>
    </row>
    <row r="1066" spans="1:9" x14ac:dyDescent="0.3">
      <c r="A1066" s="2">
        <v>1065</v>
      </c>
      <c r="B1066" s="4" t="s">
        <v>25</v>
      </c>
      <c r="C1066" s="3" t="str">
        <f>"TFC000003235"</f>
        <v>TFC000003235</v>
      </c>
      <c r="D1066" s="3" t="str">
        <f>"F400-21-0219-(AR 2.4)"</f>
        <v>F400-21-0219-(AR 2.4)</v>
      </c>
      <c r="E1066" s="3" t="str">
        <f>"Feeding time"</f>
        <v>Feeding time</v>
      </c>
      <c r="F1066" s="3" t="str">
        <f>"written by Lee Davis"</f>
        <v>written by Lee Davis</v>
      </c>
      <c r="G1066" s="3" t="str">
        <f>"Dorling Kindersley"</f>
        <v>Dorling Kindersley</v>
      </c>
      <c r="H1066" s="2" t="str">
        <f>"2001"</f>
        <v>2001</v>
      </c>
      <c r="I1066" s="3" t="str">
        <f>""</f>
        <v/>
      </c>
    </row>
    <row r="1067" spans="1:9" x14ac:dyDescent="0.3">
      <c r="A1067" s="2">
        <v>1066</v>
      </c>
      <c r="B1067" s="4" t="s">
        <v>25</v>
      </c>
      <c r="C1067" s="3" t="str">
        <f>"TFC000003237"</f>
        <v>TFC000003237</v>
      </c>
      <c r="D1067" s="3" t="str">
        <f>"F300-21-0217-(AR 2.4)"</f>
        <v>F300-21-0217-(AR 2.4)</v>
      </c>
      <c r="E1067" s="3" t="str">
        <f>"Chinese new year"</f>
        <v>Chinese new year</v>
      </c>
      <c r="F1067" s="3" t="str">
        <f>"by David F. Marx"</f>
        <v>by David F. Marx</v>
      </c>
      <c r="G1067" s="3" t="str">
        <f>"Children's Press"</f>
        <v>Children's Press</v>
      </c>
      <c r="H1067" s="2" t="str">
        <f>"2001"</f>
        <v>2001</v>
      </c>
      <c r="I1067" s="3" t="str">
        <f>""</f>
        <v/>
      </c>
    </row>
    <row r="1068" spans="1:9" x14ac:dyDescent="0.3">
      <c r="A1068" s="2">
        <v>1067</v>
      </c>
      <c r="B1068" s="4" t="s">
        <v>25</v>
      </c>
      <c r="C1068" s="3" t="str">
        <f>"TFC000003240"</f>
        <v>TFC000003240</v>
      </c>
      <c r="D1068" s="3" t="str">
        <f>"F400-21-0220-(AR 2.4)"</f>
        <v>F400-21-0220-(AR 2.4)</v>
      </c>
      <c r="E1068" s="3" t="str">
        <f>"Busy buzzy bee"</f>
        <v>Busy buzzy bee</v>
      </c>
      <c r="F1068" s="3" t="str">
        <f>"written by Karen Wallace"</f>
        <v>written by Karen Wallace</v>
      </c>
      <c r="G1068" s="3" t="str">
        <f>"Dorling Kindersley"</f>
        <v>Dorling Kindersley</v>
      </c>
      <c r="H1068" s="2" t="str">
        <f>"2017"</f>
        <v>2017</v>
      </c>
      <c r="I1068" s="3" t="str">
        <f>""</f>
        <v/>
      </c>
    </row>
    <row r="1069" spans="1:9" x14ac:dyDescent="0.3">
      <c r="A1069" s="2">
        <v>1068</v>
      </c>
      <c r="B1069" s="4" t="s">
        <v>25</v>
      </c>
      <c r="C1069" s="3" t="str">
        <f>"TFC000003314"</f>
        <v>TFC000003314</v>
      </c>
      <c r="D1069" s="3" t="str">
        <f>"F800-21-0225-(AR 2.4)"</f>
        <v>F800-21-0225-(AR 2.4)</v>
      </c>
      <c r="E1069" s="3" t="str">
        <f>"Crazy for apples"</f>
        <v>Crazy for apples</v>
      </c>
      <c r="F1069" s="3" t="str">
        <f>"by C.L. Reid ; illustrated by Elena Aiello"</f>
        <v>by C.L. Reid ; illustrated by Elena Aiello</v>
      </c>
      <c r="G1069" s="3" t="str">
        <f>"Picture Window Books"</f>
        <v>Picture Window Books</v>
      </c>
      <c r="H1069" s="2" t="str">
        <f>"2021"</f>
        <v>2021</v>
      </c>
      <c r="I1069" s="3" t="str">
        <f>""</f>
        <v/>
      </c>
    </row>
    <row r="1070" spans="1:9" x14ac:dyDescent="0.3">
      <c r="A1070" s="2">
        <v>1069</v>
      </c>
      <c r="B1070" s="4" t="s">
        <v>25</v>
      </c>
      <c r="C1070" s="3" t="str">
        <f>"TFC000003315"</f>
        <v>TFC000003315</v>
      </c>
      <c r="D1070" s="3" t="str">
        <f>"F400-21-0222-(AR 2.4)"</f>
        <v>F400-21-0222-(AR 2.4)</v>
      </c>
      <c r="E1070" s="3" t="str">
        <f>"Fat-tailed scorpion"</f>
        <v>Fat-tailed scorpion</v>
      </c>
      <c r="F1070" s="3" t="str">
        <f>"by Julie Murray"</f>
        <v>by Julie Murray</v>
      </c>
      <c r="G1070" s="3" t="str">
        <f>"Dash!"</f>
        <v>Dash!</v>
      </c>
      <c r="H1070" s="2" t="str">
        <f>"2021"</f>
        <v>2021</v>
      </c>
      <c r="I1070" s="3" t="str">
        <f>""</f>
        <v/>
      </c>
    </row>
    <row r="1071" spans="1:9" x14ac:dyDescent="0.3">
      <c r="A1071" s="2">
        <v>1070</v>
      </c>
      <c r="B1071" s="4" t="s">
        <v>25</v>
      </c>
      <c r="C1071" s="3" t="str">
        <f>"TFC000003316"</f>
        <v>TFC000003316</v>
      </c>
      <c r="D1071" s="3" t="str">
        <f>"F800-21-0226-(AR 2.4)"</f>
        <v>F800-21-0226-(AR 2.4)</v>
      </c>
      <c r="E1071" s="3" t="str">
        <f>"Field trip"</f>
        <v>Field trip</v>
      </c>
      <c r="F1071" s="3" t="str">
        <f>"by Aron Nels Steinke"</f>
        <v>by Aron Nels Steinke</v>
      </c>
      <c r="G1071" s="3" t="str">
        <f>"Graphix"</f>
        <v>Graphix</v>
      </c>
      <c r="H1071" s="2" t="str">
        <f>"2020"</f>
        <v>2020</v>
      </c>
      <c r="I1071" s="3" t="str">
        <f>""</f>
        <v/>
      </c>
    </row>
    <row r="1072" spans="1:9" x14ac:dyDescent="0.3">
      <c r="A1072" s="2">
        <v>1071</v>
      </c>
      <c r="B1072" s="4" t="s">
        <v>25</v>
      </c>
      <c r="C1072" s="3" t="str">
        <f>"TFC000003317"</f>
        <v>TFC000003317</v>
      </c>
      <c r="D1072" s="3" t="str">
        <f>"F800-21-0227-(AR 2.4)"</f>
        <v>F800-21-0227-(AR 2.4)</v>
      </c>
      <c r="E1072" s="3" t="str">
        <f>"Tap dance troubles"</f>
        <v>Tap dance troubles</v>
      </c>
      <c r="F1072" s="3" t="str">
        <f>"by C.L. Reid ; illustrated by Elena Aiello"</f>
        <v>by C.L. Reid ; illustrated by Elena Aiello</v>
      </c>
      <c r="G1072" s="3" t="str">
        <f>"picture Window Books"</f>
        <v>picture Window Books</v>
      </c>
      <c r="H1072" s="2" t="str">
        <f>"2021"</f>
        <v>2021</v>
      </c>
      <c r="I1072" s="3" t="str">
        <f>""</f>
        <v/>
      </c>
    </row>
    <row r="1073" spans="1:9" x14ac:dyDescent="0.3">
      <c r="A1073" s="2">
        <v>1072</v>
      </c>
      <c r="B1073" s="4" t="s">
        <v>25</v>
      </c>
      <c r="C1073" s="3" t="str">
        <f>"TFC000003318"</f>
        <v>TFC000003318</v>
      </c>
      <c r="D1073" s="3" t="str">
        <f>"F300-21-0218-(AR 2.4)"</f>
        <v>F300-21-0218-(AR 2.4)</v>
      </c>
      <c r="E1073" s="3" t="str">
        <f>"We need each other : being a good friend"</f>
        <v>We need each other : being a good friend</v>
      </c>
      <c r="F1073" s="3" t="str">
        <f>"by Alyssa Krekelberg"</f>
        <v>by Alyssa Krekelberg</v>
      </c>
      <c r="G1073" s="3" t="str">
        <f>"The Child's World"</f>
        <v>The Child's World</v>
      </c>
      <c r="H1073" s="2" t="str">
        <f>"2021"</f>
        <v>2021</v>
      </c>
      <c r="I1073" s="3" t="str">
        <f>""</f>
        <v/>
      </c>
    </row>
    <row r="1074" spans="1:9" x14ac:dyDescent="0.3">
      <c r="A1074" s="2">
        <v>1073</v>
      </c>
      <c r="B1074" s="4" t="s">
        <v>25</v>
      </c>
      <c r="C1074" s="3" t="str">
        <f>"TFC000003490"</f>
        <v>TFC000003490</v>
      </c>
      <c r="D1074" s="3" t="str">
        <f>"F800-21-0228-(AR 2.4)"</f>
        <v>F800-21-0228-(AR 2.4)</v>
      </c>
      <c r="E1074" s="3" t="str">
        <f>"Happy halloween"</f>
        <v>Happy halloween</v>
      </c>
      <c r="F1074" s="3" t="str">
        <f>"words by Wiley Blevins ; pictures by Jim Paillot"</f>
        <v>words by Wiley Blevins ; pictures by Jim Paillot</v>
      </c>
      <c r="G1074" s="3" t="str">
        <f>"Red Chair Press"</f>
        <v>Red Chair Press</v>
      </c>
      <c r="H1074" s="2" t="str">
        <f>"[2019]"</f>
        <v>[2019]</v>
      </c>
      <c r="I1074" s="3" t="str">
        <f>""</f>
        <v/>
      </c>
    </row>
    <row r="1075" spans="1:9" x14ac:dyDescent="0.3">
      <c r="A1075" s="2">
        <v>1074</v>
      </c>
      <c r="B1075" s="4" t="s">
        <v>25</v>
      </c>
      <c r="C1075" s="3" t="str">
        <f>"TFC000003971"</f>
        <v>TFC000003971</v>
      </c>
      <c r="D1075" s="3" t="str">
        <f>"F800-21-0250-(AR 2.4)"</f>
        <v>F800-21-0250-(AR 2.4)</v>
      </c>
      <c r="E1075" s="3" t="str">
        <f>"This one summer"</f>
        <v>This one summer</v>
      </c>
      <c r="F1075" s="3" t="str">
        <f>"by Mariko Tamaki, Jillian Tamaki"</f>
        <v>by Mariko Tamaki, Jillian Tamaki</v>
      </c>
      <c r="G1075" s="3" t="str">
        <f>"First Second"</f>
        <v>First Second</v>
      </c>
      <c r="H1075" s="2" t="str">
        <f>"2014"</f>
        <v>2014</v>
      </c>
      <c r="I1075" s="3" t="str">
        <f>""</f>
        <v/>
      </c>
    </row>
    <row r="1076" spans="1:9" x14ac:dyDescent="0.3">
      <c r="A1076" s="2">
        <v>1075</v>
      </c>
      <c r="B1076" s="4" t="s">
        <v>25</v>
      </c>
      <c r="C1076" s="3" t="str">
        <f>"TFC000003582"</f>
        <v>TFC000003582</v>
      </c>
      <c r="D1076" s="3" t="str">
        <f>"F800-21-0969-(AR 2.4)"</f>
        <v>F800-21-0969-(AR 2.4)</v>
      </c>
      <c r="E1076" s="3" t="str">
        <f>"Can bears ski?"</f>
        <v>Can bears ski?</v>
      </c>
      <c r="F1076" s="3" t="str">
        <f>"by Raymond Antrobus ; illustrated by Polly Dunbar"</f>
        <v>by Raymond Antrobus ; illustrated by Polly Dunbar</v>
      </c>
      <c r="G1076" s="3" t="str">
        <f>"Candlewick Press"</f>
        <v>Candlewick Press</v>
      </c>
      <c r="H1076" s="2" t="str">
        <f>"2020"</f>
        <v>2020</v>
      </c>
      <c r="I1076" s="3" t="str">
        <f>""</f>
        <v/>
      </c>
    </row>
    <row r="1077" spans="1:9" x14ac:dyDescent="0.3">
      <c r="A1077" s="2">
        <v>1076</v>
      </c>
      <c r="B1077" s="4" t="s">
        <v>25</v>
      </c>
      <c r="C1077" s="3" t="str">
        <f>"TFC000003604"</f>
        <v>TFC000003604</v>
      </c>
      <c r="D1077" s="3" t="str">
        <f>"F800-21-0231-(AR 2.4)"</f>
        <v>F800-21-0231-(AR 2.4)</v>
      </c>
      <c r="E1077" s="3" t="str">
        <f>"Olivia helps with Christmas"</f>
        <v>Olivia helps with Christmas</v>
      </c>
      <c r="F1077" s="3" t="str">
        <f>"by Ian Falconer"</f>
        <v>by Ian Falconer</v>
      </c>
      <c r="G1077" s="3" t="str">
        <f>"Atheneum Books for Young Readers"</f>
        <v>Atheneum Books for Young Readers</v>
      </c>
      <c r="H1077" s="2" t="str">
        <f>"2013"</f>
        <v>2013</v>
      </c>
      <c r="I1077" s="3" t="str">
        <f>""</f>
        <v/>
      </c>
    </row>
    <row r="1078" spans="1:9" x14ac:dyDescent="0.3">
      <c r="A1078" s="2">
        <v>1077</v>
      </c>
      <c r="B1078" s="4" t="s">
        <v>25</v>
      </c>
      <c r="C1078" s="3" t="str">
        <f>"TFC000003605"</f>
        <v>TFC000003605</v>
      </c>
      <c r="D1078" s="3" t="str">
        <f>"F800-21-0232-(AR 2.4)"</f>
        <v>F800-21-0232-(AR 2.4)</v>
      </c>
      <c r="E1078" s="3" t="str">
        <f>"Super Billy Goats Gruff : a graphic novel"</f>
        <v>Super Billy Goats Gruff : a graphic novel</v>
      </c>
      <c r="F1078" s="3" t="str">
        <f>"by Sean Tulien ; illustrated by Fernando Cano"</f>
        <v>by Sean Tulien ; illustrated by Fernando Cano</v>
      </c>
      <c r="G1078" s="3" t="str">
        <f>"Raintree"</f>
        <v>Raintree</v>
      </c>
      <c r="H1078" s="2" t="str">
        <f>"2016"</f>
        <v>2016</v>
      </c>
      <c r="I1078" s="3" t="str">
        <f>""</f>
        <v/>
      </c>
    </row>
    <row r="1079" spans="1:9" x14ac:dyDescent="0.3">
      <c r="A1079" s="2">
        <v>1078</v>
      </c>
      <c r="B1079" s="4" t="s">
        <v>25</v>
      </c>
      <c r="C1079" s="3" t="str">
        <f>"TFC000003807"</f>
        <v>TFC000003807</v>
      </c>
      <c r="D1079" s="3" t="str">
        <f>"F800-21-0238-(AR 2.4)"</f>
        <v>F800-21-0238-(AR 2.4)</v>
      </c>
      <c r="E1079" s="3" t="str">
        <f>"Happy fell"</f>
        <v>Happy fell</v>
      </c>
      <c r="F1079" s="3" t="str">
        <f>"by Erica S. Perl, illustrated by Chris Chatterton"</f>
        <v>by Erica S. Perl, illustrated by Chris Chatterton</v>
      </c>
      <c r="G1079" s="3" t="str">
        <f>"Penguin Workshop"</f>
        <v>Penguin Workshop</v>
      </c>
      <c r="H1079" s="2" t="str">
        <f>"2019"</f>
        <v>2019</v>
      </c>
      <c r="I1079" s="3" t="str">
        <f>""</f>
        <v/>
      </c>
    </row>
    <row r="1080" spans="1:9" x14ac:dyDescent="0.3">
      <c r="A1080" s="2">
        <v>1079</v>
      </c>
      <c r="B1080" s="4" t="s">
        <v>25</v>
      </c>
      <c r="C1080" s="3" t="str">
        <f>"TFC000003701"</f>
        <v>TFC000003701</v>
      </c>
      <c r="D1080" s="3" t="str">
        <f>"F800-21-0233-(AR 2.4)"</f>
        <v>F800-21-0233-(AR 2.4)</v>
      </c>
      <c r="E1080" s="3" t="str">
        <f>"Nurse Kenji rules!"</f>
        <v>Nurse Kenji rules!</v>
      </c>
      <c r="F1080" s="3" t="str">
        <f>"by Fran Manushkin ; illustrated by Laura Zarrin"</f>
        <v>by Fran Manushkin ; illustrated by Laura Zarrin</v>
      </c>
      <c r="G1080" s="3" t="str">
        <f>"Picture Window Books"</f>
        <v>Picture Window Books</v>
      </c>
      <c r="H1080" s="2" t="str">
        <f>"2021"</f>
        <v>2021</v>
      </c>
      <c r="I1080" s="3" t="str">
        <f>""</f>
        <v/>
      </c>
    </row>
    <row r="1081" spans="1:9" x14ac:dyDescent="0.3">
      <c r="A1081" s="2">
        <v>1080</v>
      </c>
      <c r="B1081" s="4" t="s">
        <v>25</v>
      </c>
      <c r="C1081" s="3" t="str">
        <f>"TFC000003775"</f>
        <v>TFC000003775</v>
      </c>
      <c r="D1081" s="3" t="str">
        <f>"F800-21-0235-(AR 2.4)"</f>
        <v>F800-21-0235-(AR 2.4)</v>
      </c>
      <c r="E1081" s="3" t="str">
        <f>"First day jitters"</f>
        <v>First day jitters</v>
      </c>
      <c r="F1081" s="3" t="str">
        <f>"by Julie Danneberg ; illustrated by Judy Love"</f>
        <v>by Julie Danneberg ; illustrated by Judy Love</v>
      </c>
      <c r="G1081" s="3" t="str">
        <f>"Whispering Coyote"</f>
        <v>Whispering Coyote</v>
      </c>
      <c r="H1081" s="2" t="str">
        <f>"2000"</f>
        <v>2000</v>
      </c>
      <c r="I1081" s="3" t="str">
        <f>""</f>
        <v/>
      </c>
    </row>
    <row r="1082" spans="1:9" x14ac:dyDescent="0.3">
      <c r="A1082" s="2">
        <v>1081</v>
      </c>
      <c r="B1082" s="4" t="s">
        <v>25</v>
      </c>
      <c r="C1082" s="3" t="str">
        <f>"TFC000003825"</f>
        <v>TFC000003825</v>
      </c>
      <c r="D1082" s="3" t="str">
        <f>"F800-21-0239-(AR 2.4)"</f>
        <v>F800-21-0239-(AR 2.4)</v>
      </c>
      <c r="E1082" s="3" t="str">
        <f>"(The)Incredible painting of Felix Clousseau"</f>
        <v>(The)Incredible painting of Felix Clousseau</v>
      </c>
      <c r="F1082" s="3" t="str">
        <f>"by Jon Agee"</f>
        <v>by Jon Agee</v>
      </c>
      <c r="G1082" s="3" t="str">
        <f>"Dial Books for Young Readers"</f>
        <v>Dial Books for Young Readers</v>
      </c>
      <c r="H1082" s="2" t="str">
        <f>"2021"</f>
        <v>2021</v>
      </c>
      <c r="I1082" s="3" t="str">
        <f>""</f>
        <v/>
      </c>
    </row>
    <row r="1083" spans="1:9" x14ac:dyDescent="0.3">
      <c r="A1083" s="2">
        <v>1082</v>
      </c>
      <c r="B1083" s="4" t="s">
        <v>25</v>
      </c>
      <c r="C1083" s="3" t="str">
        <f>"TFC000003840"</f>
        <v>TFC000003840</v>
      </c>
      <c r="D1083" s="3" t="str">
        <f>"F800-21-0240-(AR 2.4)"</f>
        <v>F800-21-0240-(AR 2.4)</v>
      </c>
      <c r="E1083" s="3" t="str">
        <f>"King &amp; Kayla and the case of the lost tooth"</f>
        <v>King &amp; Kayla and the case of the lost tooth</v>
      </c>
      <c r="F1083" s="3" t="str">
        <f>"by Dori Hillestad Butler, illustrated by Nancy Meyers"</f>
        <v>by Dori Hillestad Butler, illustrated by Nancy Meyers</v>
      </c>
      <c r="G1083" s="3" t="str">
        <f>"Peachtree"</f>
        <v>Peachtree</v>
      </c>
      <c r="H1083" s="2" t="str">
        <f>"2018"</f>
        <v>2018</v>
      </c>
      <c r="I1083" s="3" t="str">
        <f>""</f>
        <v/>
      </c>
    </row>
    <row r="1084" spans="1:9" x14ac:dyDescent="0.3">
      <c r="A1084" s="2">
        <v>1083</v>
      </c>
      <c r="B1084" s="4" t="s">
        <v>25</v>
      </c>
      <c r="C1084" s="3" t="str">
        <f>"TFC000003857"</f>
        <v>TFC000003857</v>
      </c>
      <c r="D1084" s="3" t="str">
        <f>"F800-21-0241-(AR 2.4)"</f>
        <v>F800-21-0241-(AR 2.4)</v>
      </c>
      <c r="E1084" s="3" t="str">
        <f>"Duck and Hippo Lost and Found"</f>
        <v>Duck and Hippo Lost and Found</v>
      </c>
      <c r="F1084" s="3" t="str">
        <f>"by Jonathan London, illustrated by Andrew Joyner"</f>
        <v>by Jonathan London, illustrated by Andrew Joyner</v>
      </c>
      <c r="G1084" s="3" t="str">
        <f>"Two Lions"</f>
        <v>Two Lions</v>
      </c>
      <c r="H1084" s="2" t="str">
        <f>"2017"</f>
        <v>2017</v>
      </c>
      <c r="I1084" s="3" t="str">
        <f>""</f>
        <v/>
      </c>
    </row>
    <row r="1085" spans="1:9" x14ac:dyDescent="0.3">
      <c r="A1085" s="2">
        <v>1084</v>
      </c>
      <c r="B1085" s="4" t="s">
        <v>25</v>
      </c>
      <c r="C1085" s="3" t="str">
        <f>"TFC000003966"</f>
        <v>TFC000003966</v>
      </c>
      <c r="D1085" s="3" t="str">
        <f>"F800-21-0247-(AR 2.4)"</f>
        <v>F800-21-0247-(AR 2.4)</v>
      </c>
      <c r="E1085" s="3" t="str">
        <f>"Someday, Narwhal"</f>
        <v>Someday, Narwhal</v>
      </c>
      <c r="F1085" s="3" t="str">
        <f>"written by Lisa Mantchev, illustrated by Hyewon Yum"</f>
        <v>written by Lisa Mantchev, illustrated by Hyewon Yum</v>
      </c>
      <c r="G1085" s="3" t="str">
        <f>"Simon &amp; Schuster Books for Young Readers"</f>
        <v>Simon &amp; Schuster Books for Young Readers</v>
      </c>
      <c r="H1085" s="2" t="str">
        <f>"2017"</f>
        <v>2017</v>
      </c>
      <c r="I1085" s="3" t="str">
        <f>""</f>
        <v/>
      </c>
    </row>
    <row r="1086" spans="1:9" x14ac:dyDescent="0.3">
      <c r="A1086" s="2">
        <v>1085</v>
      </c>
      <c r="B1086" s="4" t="s">
        <v>25</v>
      </c>
      <c r="C1086" s="3" t="str">
        <f>"TFC000003967"</f>
        <v>TFC000003967</v>
      </c>
      <c r="D1086" s="3" t="str">
        <f>"F400-21-0223-(AR 2.4)"</f>
        <v>F400-21-0223-(AR 2.4)</v>
      </c>
      <c r="E1086" s="3" t="str">
        <f>"Kangaroo rats"</f>
        <v>Kangaroo rats</v>
      </c>
      <c r="F1086" s="3" t="str">
        <f>"by Martha London"</f>
        <v>by Martha London</v>
      </c>
      <c r="G1086" s="3" t="str">
        <f>"Pop!"</f>
        <v>Pop!</v>
      </c>
      <c r="H1086" s="2" t="str">
        <f>"2020"</f>
        <v>2020</v>
      </c>
      <c r="I1086" s="3" t="str">
        <f>""</f>
        <v/>
      </c>
    </row>
    <row r="1087" spans="1:9" x14ac:dyDescent="0.3">
      <c r="A1087" s="2">
        <v>1086</v>
      </c>
      <c r="B1087" s="4" t="s">
        <v>25</v>
      </c>
      <c r="C1087" s="3" t="str">
        <f>"TFC000003968"</f>
        <v>TFC000003968</v>
      </c>
      <c r="D1087" s="3" t="str">
        <f>"F400-21-0224-(AR 2.4)"</f>
        <v>F400-21-0224-(AR 2.4)</v>
      </c>
      <c r="E1087" s="3" t="str">
        <f>"Fun facts about bats"</f>
        <v>Fun facts about bats</v>
      </c>
      <c r="F1087" s="3" t="str">
        <f>"by Julie Murray"</f>
        <v>by Julie Murray</v>
      </c>
      <c r="G1087" s="3" t="str">
        <f>"Abdo Zoom"</f>
        <v>Abdo Zoom</v>
      </c>
      <c r="H1087" s="2" t="str">
        <f>"2022"</f>
        <v>2022</v>
      </c>
      <c r="I1087" s="3" t="str">
        <f>""</f>
        <v/>
      </c>
    </row>
    <row r="1088" spans="1:9" x14ac:dyDescent="0.3">
      <c r="A1088" s="2">
        <v>1087</v>
      </c>
      <c r="B1088" s="4" t="s">
        <v>25</v>
      </c>
      <c r="C1088" s="3" t="str">
        <f>"TFC000003969"</f>
        <v>TFC000003969</v>
      </c>
      <c r="D1088" s="3" t="str">
        <f>"F800-21-0248-(AR 2.4)"</f>
        <v>F800-21-0248-(AR 2.4)</v>
      </c>
      <c r="E1088" s="3" t="str">
        <f>"Donut worry"</f>
        <v>Donut worry</v>
      </c>
      <c r="F1088" s="3" t="str">
        <f>"by Christianne Jones, illustrated by Jack Viant"</f>
        <v>by Christianne Jones, illustrated by Jack Viant</v>
      </c>
      <c r="G1088" s="3" t="str">
        <f>"Capstone Editions"</f>
        <v>Capstone Editions</v>
      </c>
      <c r="H1088" s="2" t="str">
        <f>"2021"</f>
        <v>2021</v>
      </c>
      <c r="I1088" s="3" t="str">
        <f>""</f>
        <v/>
      </c>
    </row>
    <row r="1089" spans="1:9" x14ac:dyDescent="0.3">
      <c r="A1089" s="2">
        <v>1088</v>
      </c>
      <c r="B1089" s="4" t="s">
        <v>25</v>
      </c>
      <c r="C1089" s="3" t="str">
        <f>"TFC000004037"</f>
        <v>TFC000004037</v>
      </c>
      <c r="D1089" s="3" t="str">
        <f>"F800-21-0252-(AR 2.4)"</f>
        <v>F800-21-0252-(AR 2.4)</v>
      </c>
      <c r="E1089" s="3" t="str">
        <f>"Vampires don't wear polka dots"</f>
        <v>Vampires don't wear polka dots</v>
      </c>
      <c r="F1089" s="3" t="str">
        <f>"a graphic novel by Pearl Low, based on the novel by Marcia Thornton Jones, Debbie Dadey"</f>
        <v>a graphic novel by Pearl Low, based on the novel by Marcia Thornton Jones, Debbie Dadey</v>
      </c>
      <c r="G1089" s="3" t="str">
        <f>"Graphix"</f>
        <v>Graphix</v>
      </c>
      <c r="H1089" s="2" t="str">
        <f>"2021"</f>
        <v>2021</v>
      </c>
      <c r="I1089" s="3" t="str">
        <f>""</f>
        <v/>
      </c>
    </row>
    <row r="1090" spans="1:9" x14ac:dyDescent="0.3">
      <c r="A1090" s="2">
        <v>1089</v>
      </c>
      <c r="B1090" s="4" t="s">
        <v>25</v>
      </c>
      <c r="C1090" s="3" t="str">
        <f>"TFC000004143"</f>
        <v>TFC000004143</v>
      </c>
      <c r="D1090" s="3" t="str">
        <f>"F800-21-0254-(AR 2.4)"</f>
        <v>F800-21-0254-(AR 2.4)</v>
      </c>
      <c r="E1090" s="3" t="str">
        <f>"Swing it, Sunny!"</f>
        <v>Swing it, Sunny!</v>
      </c>
      <c r="F1090" s="3" t="str">
        <f>"by Jennifer L. Holm, illustrated by Matthew Holm"</f>
        <v>by Jennifer L. Holm, illustrated by Matthew Holm</v>
      </c>
      <c r="G1090" s="3" t="str">
        <f>"Scholastic"</f>
        <v>Scholastic</v>
      </c>
      <c r="H1090" s="2" t="str">
        <f>"2017"</f>
        <v>2017</v>
      </c>
      <c r="I1090" s="3" t="str">
        <f>""</f>
        <v/>
      </c>
    </row>
    <row r="1091" spans="1:9" x14ac:dyDescent="0.3">
      <c r="A1091" s="2">
        <v>1090</v>
      </c>
      <c r="B1091" s="4" t="s">
        <v>25</v>
      </c>
      <c r="C1091" s="3" t="str">
        <f>"TFC000004144"</f>
        <v>TFC000004144</v>
      </c>
      <c r="D1091" s="3" t="str">
        <f>"F800-21-0255-(AR 2.4)"</f>
        <v>F800-21-0255-(AR 2.4)</v>
      </c>
      <c r="E1091" s="3" t="str">
        <f>"Crush"</f>
        <v>Crush</v>
      </c>
      <c r="F1091" s="3" t="str">
        <f>"by Svetlana Chmakova"</f>
        <v>by Svetlana Chmakova</v>
      </c>
      <c r="G1091" s="3" t="str">
        <f>"JY"</f>
        <v>JY</v>
      </c>
      <c r="H1091" s="2" t="str">
        <f>"2018"</f>
        <v>2018</v>
      </c>
      <c r="I1091" s="3" t="str">
        <f>""</f>
        <v/>
      </c>
    </row>
    <row r="1092" spans="1:9" x14ac:dyDescent="0.3">
      <c r="A1092" s="2">
        <v>1091</v>
      </c>
      <c r="B1092" s="4" t="s">
        <v>25</v>
      </c>
      <c r="C1092" s="3" t="str">
        <f>"TFC000004146"</f>
        <v>TFC000004146</v>
      </c>
      <c r="D1092" s="3" t="str">
        <f>"F800-21-0257-(AR 2.4)"</f>
        <v>F800-21-0257-(AR 2.4)</v>
      </c>
      <c r="E1092" s="3" t="str">
        <f>"Narwhal : Unicorn of the sea"</f>
        <v>Narwhal : Unicorn of the sea</v>
      </c>
      <c r="F1092" s="3" t="str">
        <f>"by Ben Clanton"</f>
        <v>by Ben Clanton</v>
      </c>
      <c r="G1092" s="3" t="str">
        <f>"Tundra Books"</f>
        <v>Tundra Books</v>
      </c>
      <c r="H1092" s="2" t="str">
        <f>"2016"</f>
        <v>2016</v>
      </c>
      <c r="I1092" s="3" t="str">
        <f>""</f>
        <v/>
      </c>
    </row>
    <row r="1093" spans="1:9" x14ac:dyDescent="0.3">
      <c r="A1093" s="2">
        <v>1092</v>
      </c>
      <c r="B1093" s="4" t="s">
        <v>25</v>
      </c>
      <c r="C1093" s="3" t="str">
        <f>"TFC000004275"</f>
        <v>TFC000004275</v>
      </c>
      <c r="D1093" s="3" t="str">
        <f>"F800-22-0005-(AR 2.4)"</f>
        <v>F800-22-0005-(AR 2.4)</v>
      </c>
      <c r="E1093" s="3" t="str">
        <f>"(The)Bad guys. 9, (The)Big Bad Wolf"</f>
        <v>(The)Bad guys. 9, (The)Big Bad Wolf</v>
      </c>
      <c r="F1093" s="3" t="str">
        <f>"by Aaron Blabey"</f>
        <v>by Aaron Blabey</v>
      </c>
      <c r="G1093" s="3" t="str">
        <f>"Scholastic"</f>
        <v>Scholastic</v>
      </c>
      <c r="H1093" s="2" t="str">
        <f>"2019"</f>
        <v>2019</v>
      </c>
      <c r="I1093" s="3" t="str">
        <f>""</f>
        <v/>
      </c>
    </row>
    <row r="1094" spans="1:9" x14ac:dyDescent="0.3">
      <c r="A1094" s="2">
        <v>1093</v>
      </c>
      <c r="B1094" s="4" t="s">
        <v>25</v>
      </c>
      <c r="C1094" s="3" t="str">
        <f>"TFC000004927"</f>
        <v>TFC000004927</v>
      </c>
      <c r="D1094" s="3" t="str">
        <f>"F400-23-0031-(AR2.4)"</f>
        <v>F400-23-0031-(AR2.4)</v>
      </c>
      <c r="E1094" s="3" t="str">
        <f>"Baby llamas"</f>
        <v>Baby llamas</v>
      </c>
      <c r="F1094" s="3" t="str">
        <f>"by Martha London"</f>
        <v>by Martha London</v>
      </c>
      <c r="G1094" s="3" t="str">
        <f>"Cody Koala"</f>
        <v>Cody Koala</v>
      </c>
      <c r="H1094" s="2" t="str">
        <f>"2021"</f>
        <v>2021</v>
      </c>
      <c r="I1094" s="3" t="str">
        <f>""</f>
        <v/>
      </c>
    </row>
    <row r="1095" spans="1:9" x14ac:dyDescent="0.3">
      <c r="A1095" s="2">
        <v>1094</v>
      </c>
      <c r="B1095" s="4" t="s">
        <v>25</v>
      </c>
      <c r="C1095" s="3" t="str">
        <f>"TFC000004341"</f>
        <v>TFC000004341</v>
      </c>
      <c r="D1095" s="3" t="str">
        <f>"F800-22-0150-(AR2.4)"</f>
        <v>F800-22-0150-(AR2.4)</v>
      </c>
      <c r="E1095" s="3" t="str">
        <f>"Burger boy"</f>
        <v>Burger boy</v>
      </c>
      <c r="F1095" s="3" t="str">
        <f>"by Alan Durant, Mei Matsuoka"</f>
        <v>by Alan Durant, Mei Matsuoka</v>
      </c>
      <c r="G1095" s="3" t="str">
        <f>"Andersen"</f>
        <v>Andersen</v>
      </c>
      <c r="H1095" s="2" t="str">
        <f>"2006"</f>
        <v>2006</v>
      </c>
      <c r="I1095" s="3" t="str">
        <f>""</f>
        <v/>
      </c>
    </row>
    <row r="1096" spans="1:9" x14ac:dyDescent="0.3">
      <c r="A1096" s="2">
        <v>1095</v>
      </c>
      <c r="B1096" s="4" t="s">
        <v>25</v>
      </c>
      <c r="C1096" s="3" t="str">
        <f>"TFC000004699"</f>
        <v>TFC000004699</v>
      </c>
      <c r="D1096" s="3" t="str">
        <f>"F800-22-0508-(AR2.4)"</f>
        <v>F800-22-0508-(AR2.4)</v>
      </c>
      <c r="E1096" s="3" t="str">
        <f>"(The)Secret Garden : A graphic novel"</f>
        <v>(The)Secret Garden : A graphic novel</v>
      </c>
      <c r="F1096" s="3" t="str">
        <f>"Mariah Marsden, Hanna Luechtefeld"</f>
        <v>Mariah Marsden, Hanna Luechtefeld</v>
      </c>
      <c r="G1096" s="3" t="str">
        <f>"Andrews McMeel"</f>
        <v>Andrews McMeel</v>
      </c>
      <c r="H1096" s="2" t="str">
        <f>"2021"</f>
        <v>2021</v>
      </c>
      <c r="I1096" s="3" t="str">
        <f>""</f>
        <v/>
      </c>
    </row>
    <row r="1097" spans="1:9" x14ac:dyDescent="0.3">
      <c r="A1097" s="2">
        <v>1096</v>
      </c>
      <c r="B1097" s="4" t="s">
        <v>25</v>
      </c>
      <c r="C1097" s="3" t="str">
        <f>"TFC000004701"</f>
        <v>TFC000004701</v>
      </c>
      <c r="D1097" s="3" t="str">
        <f>"F800-22-0510-(AR2.4)"</f>
        <v>F800-22-0510-(AR2.4)</v>
      </c>
      <c r="E1097" s="3" t="str">
        <f>"Cat Kid comic club : on purpose"</f>
        <v>Cat Kid comic club : on purpose</v>
      </c>
      <c r="F1097" s="3" t="str">
        <f>"words, illustrations, and artwork by Dav Pilkey, with digital color by Jose Garibaldi"</f>
        <v>words, illustrations, and artwork by Dav Pilkey, with digital color by Jose Garibaldi</v>
      </c>
      <c r="G1097" s="3" t="str">
        <f>"Graphix"</f>
        <v>Graphix</v>
      </c>
      <c r="H1097" s="2" t="str">
        <f>"2022"</f>
        <v>2022</v>
      </c>
      <c r="I1097" s="3" t="str">
        <f>""</f>
        <v/>
      </c>
    </row>
    <row r="1098" spans="1:9" x14ac:dyDescent="0.3">
      <c r="A1098" s="2">
        <v>1097</v>
      </c>
      <c r="B1098" s="4" t="s">
        <v>25</v>
      </c>
      <c r="C1098" s="3" t="str">
        <f>"TFC000000677"</f>
        <v>TFC000000677</v>
      </c>
      <c r="D1098" s="3" t="str">
        <f>"F800-20-0747-1(AR 2.4)"</f>
        <v>F800-20-0747-1(AR 2.4)</v>
      </c>
      <c r="E1098" s="3" t="str">
        <f>"Arthur and the school pet"</f>
        <v>Arthur and the school pet</v>
      </c>
      <c r="F1098" s="3" t="str">
        <f>"by Marc Brown"</f>
        <v>by Marc Brown</v>
      </c>
      <c r="G1098" s="3" t="str">
        <f>"Random House"</f>
        <v>Random House</v>
      </c>
      <c r="H1098" s="2" t="str">
        <f>"2003"</f>
        <v>2003</v>
      </c>
      <c r="I1098" s="3" t="str">
        <f>""</f>
        <v/>
      </c>
    </row>
    <row r="1099" spans="1:9" x14ac:dyDescent="0.3">
      <c r="A1099" s="2">
        <v>1098</v>
      </c>
      <c r="B1099" s="4" t="s">
        <v>25</v>
      </c>
      <c r="C1099" s="3" t="str">
        <f>"TFC000000735"</f>
        <v>TFC000000735</v>
      </c>
      <c r="D1099" s="3" t="str">
        <f>"F800-20-0805-1(AR 2.4)"</f>
        <v>F800-20-0805-1(AR 2.4)</v>
      </c>
      <c r="E1099" s="3" t="str">
        <f>"Bone. 1, out from boneville"</f>
        <v>Bone. 1, out from boneville</v>
      </c>
      <c r="F1099" s="3" t="str">
        <f>"by Jeff Smith ; with color by Steve Hamaker"</f>
        <v>by Jeff Smith ; with color by Steve Hamaker</v>
      </c>
      <c r="G1099" s="3" t="str">
        <f>"Scholastic"</f>
        <v>Scholastic</v>
      </c>
      <c r="H1099" s="2" t="str">
        <f>"2005"</f>
        <v>2005</v>
      </c>
      <c r="I1099" s="3" t="str">
        <f>""</f>
        <v/>
      </c>
    </row>
    <row r="1100" spans="1:9" x14ac:dyDescent="0.3">
      <c r="A1100" s="2">
        <v>1099</v>
      </c>
      <c r="B1100" s="4" t="s">
        <v>25</v>
      </c>
      <c r="C1100" s="3" t="str">
        <f>"TFC000003858"</f>
        <v>TFC000003858</v>
      </c>
      <c r="D1100" s="3" t="str">
        <f>"F800-21-0242-1(AR 2.4)"</f>
        <v>F800-21-0242-1(AR 2.4)</v>
      </c>
      <c r="E1100" s="3" t="str">
        <f>"(The)Bad guys. 1"</f>
        <v>(The)Bad guys. 1</v>
      </c>
      <c r="F1100" s="3" t="str">
        <f>"by Aaron Blabey"</f>
        <v>by Aaron Blabey</v>
      </c>
      <c r="G1100" s="3" t="str">
        <f>"Scholastic"</f>
        <v>Scholastic</v>
      </c>
      <c r="H1100" s="2" t="str">
        <f>"2021"</f>
        <v>2021</v>
      </c>
      <c r="I1100" s="3" t="str">
        <f>""</f>
        <v/>
      </c>
    </row>
    <row r="1101" spans="1:9" x14ac:dyDescent="0.3">
      <c r="A1101" s="2">
        <v>1100</v>
      </c>
      <c r="B1101" s="4">
        <v>2.4</v>
      </c>
      <c r="C1101" s="3" t="str">
        <f>"TFC000004106"</f>
        <v>TFC000004106</v>
      </c>
      <c r="D1101" s="3" t="str">
        <f>"F800-21-0253-13(AR 2.4)"</f>
        <v>F800-21-0253-13(AR 2.4)</v>
      </c>
      <c r="E1101" s="3" t="str">
        <f>"(The)Bad guys. 13, In cut to the chase"</f>
        <v>(The)Bad guys. 13, In cut to the chase</v>
      </c>
      <c r="F1101" s="3" t="str">
        <f>"by Aaron Blabey"</f>
        <v>by Aaron Blabey</v>
      </c>
      <c r="G1101" s="3" t="str">
        <f>"Scholastic Inc"</f>
        <v>Scholastic Inc</v>
      </c>
      <c r="H1101" s="2" t="str">
        <f>"2021"</f>
        <v>2021</v>
      </c>
      <c r="I1101" s="3" t="str">
        <f>""</f>
        <v/>
      </c>
    </row>
    <row r="1102" spans="1:9" x14ac:dyDescent="0.3">
      <c r="A1102" s="2">
        <v>1101</v>
      </c>
      <c r="B1102" s="4">
        <v>2.4</v>
      </c>
      <c r="C1102" s="3" t="str">
        <f>"TFC000003916"</f>
        <v>TFC000003916</v>
      </c>
      <c r="D1102" s="3" t="str">
        <f>"F800-21-0244-18(AR 2.4)"</f>
        <v>F800-21-0244-18(AR 2.4)</v>
      </c>
      <c r="E1102" s="3" t="str">
        <f>"Babymouse. 18, Happy birthday, Babymouse!"</f>
        <v>Babymouse. 18, Happy birthday, Babymouse!</v>
      </c>
      <c r="F1102" s="3" t="str">
        <f>"by Jennifer L. Holm, Matthew Holm"</f>
        <v>by Jennifer L. Holm, Matthew Holm</v>
      </c>
      <c r="G1102" s="3" t="str">
        <f>"Random House"</f>
        <v>Random House</v>
      </c>
      <c r="H1102" s="2" t="str">
        <f>"2014"</f>
        <v>2014</v>
      </c>
      <c r="I1102" s="3" t="str">
        <f>""</f>
        <v/>
      </c>
    </row>
    <row r="1103" spans="1:9" x14ac:dyDescent="0.3">
      <c r="A1103" s="2">
        <v>1102</v>
      </c>
      <c r="B1103" s="4">
        <v>2.4</v>
      </c>
      <c r="C1103" s="3" t="str">
        <f>"TFC000003972"</f>
        <v>TFC000003972</v>
      </c>
      <c r="D1103" s="3" t="str">
        <f>"F800-21-0251-2(AR 2.4)"</f>
        <v>F800-21-0251-2(AR 2.4)</v>
      </c>
      <c r="E1103" s="3" t="str">
        <f>"(The)Bad Guys. 2, The Bad guys in mission unpluckable"</f>
        <v>(The)Bad Guys. 2, The Bad guys in mission unpluckable</v>
      </c>
      <c r="F1103" s="3" t="str">
        <f>"by Aaron Blabey"</f>
        <v>by Aaron Blabey</v>
      </c>
      <c r="G1103" s="3" t="str">
        <f>"Scholastic"</f>
        <v>Scholastic</v>
      </c>
      <c r="H1103" s="2" t="str">
        <f>"2017"</f>
        <v>2017</v>
      </c>
      <c r="I1103" s="3" t="str">
        <f>""</f>
        <v/>
      </c>
    </row>
    <row r="1104" spans="1:9" x14ac:dyDescent="0.3">
      <c r="A1104" s="2">
        <v>1103</v>
      </c>
      <c r="B1104" s="4">
        <v>2.4</v>
      </c>
      <c r="C1104" s="3" t="str">
        <f>"TFC000003859"</f>
        <v>TFC000003859</v>
      </c>
      <c r="D1104" s="3" t="str">
        <f>"F800-21-0243-2(AR 2.4)"</f>
        <v>F800-21-0243-2(AR 2.4)</v>
      </c>
      <c r="E1104" s="3" t="str">
        <f>"Baby-sitters little sister. 2, Karen's Roller Skates"</f>
        <v>Baby-sitters little sister. 2, Karen's Roller Skates</v>
      </c>
      <c r="F1104" s="3" t="str">
        <f>"a graphic novel by Katy Farina"</f>
        <v>a graphic novel by Katy Farina</v>
      </c>
      <c r="G1104" s="3" t="str">
        <f>"Graphix"</f>
        <v>Graphix</v>
      </c>
      <c r="H1104" s="2" t="str">
        <f>"2020"</f>
        <v>2020</v>
      </c>
      <c r="I1104" s="3" t="str">
        <f>""</f>
        <v/>
      </c>
    </row>
    <row r="1105" spans="1:9" x14ac:dyDescent="0.3">
      <c r="A1105" s="2">
        <v>1104</v>
      </c>
      <c r="B1105" s="4">
        <v>2.4</v>
      </c>
      <c r="C1105" s="3" t="str">
        <f>"TFC000000679"</f>
        <v>TFC000000679</v>
      </c>
      <c r="D1105" s="3" t="str">
        <f>"F800-20-0749-3(AR 2.4)"</f>
        <v>F800-20-0749-3(AR 2.4)</v>
      </c>
      <c r="E1105" s="3" t="str">
        <f>"Arthur's pet business"</f>
        <v>Arthur's pet business</v>
      </c>
      <c r="F1105" s="3" t="str">
        <f>"by Marc Brown"</f>
        <v>by Marc Brown</v>
      </c>
      <c r="G1105" s="3" t="str">
        <f>"Little, Brown and Company"</f>
        <v>Little, Brown and Company</v>
      </c>
      <c r="H1105" s="2" t="str">
        <f>"2011"</f>
        <v>2011</v>
      </c>
      <c r="I1105" s="3" t="str">
        <f>""</f>
        <v/>
      </c>
    </row>
    <row r="1106" spans="1:9" x14ac:dyDescent="0.3">
      <c r="A1106" s="2">
        <v>1105</v>
      </c>
      <c r="B1106" s="4">
        <v>2.4</v>
      </c>
      <c r="C1106" s="3" t="str">
        <f>"TFC000003970"</f>
        <v>TFC000003970</v>
      </c>
      <c r="D1106" s="3" t="str">
        <f>"F800-21-0249-3(AR 2.4)"</f>
        <v>F800-21-0249-3(AR 2.4)</v>
      </c>
      <c r="E1106" s="3" t="str">
        <f>"(The)Baby-sitters Club. 3, Mary Anne saves the day"</f>
        <v>(The)Baby-sitters Club. 3, Mary Anne saves the day</v>
      </c>
      <c r="F1106" s="3" t="str">
        <f>"Ann M. Martin, a graphic novel by Raina Telgemeier, with color by Braden Lamb"</f>
        <v>Ann M. Martin, a graphic novel by Raina Telgemeier, with color by Braden Lamb</v>
      </c>
      <c r="G1106" s="3" t="str">
        <f>"Graphix, an imprint of Scholastic"</f>
        <v>Graphix, an imprint of Scholastic</v>
      </c>
      <c r="H1106" s="2" t="str">
        <f>"2015"</f>
        <v>2015</v>
      </c>
      <c r="I1106" s="3" t="str">
        <f>""</f>
        <v/>
      </c>
    </row>
    <row r="1107" spans="1:9" x14ac:dyDescent="0.3">
      <c r="A1107" s="2">
        <v>1106</v>
      </c>
      <c r="B1107" s="4">
        <v>2.4</v>
      </c>
      <c r="C1107" s="3" t="str">
        <f>"TFC000003917"</f>
        <v>TFC000003917</v>
      </c>
      <c r="D1107" s="3" t="str">
        <f>"F800-21-0245-4(AR 2.4)"</f>
        <v>F800-21-0245-4(AR 2.4)</v>
      </c>
      <c r="E1107" s="3" t="str">
        <f>"Hilo. 4, Waking the Monsters"</f>
        <v>Hilo. 4, Waking the Monsters</v>
      </c>
      <c r="F1107" s="3" t="str">
        <f>"by Judd Winick, color by Guy Major"</f>
        <v>by Judd Winick, color by Guy Major</v>
      </c>
      <c r="G1107" s="3" t="str">
        <f>"Random House"</f>
        <v>Random House</v>
      </c>
      <c r="H1107" s="2" t="str">
        <f>"2015"</f>
        <v>2015</v>
      </c>
      <c r="I1107" s="3" t="str">
        <f>""</f>
        <v/>
      </c>
    </row>
    <row r="1108" spans="1:9" x14ac:dyDescent="0.3">
      <c r="A1108" s="2">
        <v>1107</v>
      </c>
      <c r="B1108" s="4">
        <v>2.4</v>
      </c>
      <c r="C1108" s="3" t="str">
        <f>"TFC000000730"</f>
        <v>TFC000000730</v>
      </c>
      <c r="D1108" s="3" t="str">
        <f>"F800-20-0800-6(AR 2.4)"</f>
        <v>F800-20-0800-6(AR 2.4)</v>
      </c>
      <c r="E1108" s="3" t="str">
        <f>"Henry and Mudge and the long weekend : the eleventh book of their adventures"</f>
        <v>Henry and Mudge and the long weekend : the eleventh book of their adventures</v>
      </c>
      <c r="F1108" s="3" t="str">
        <f>"story by Cynthia Rylant ; pictures by Suc?ie Stevenson"</f>
        <v>story by Cynthia Rylant ; pictures by Suc?ie Stevenson</v>
      </c>
      <c r="G1108" s="3" t="str">
        <f>"Simon Spotlight"</f>
        <v>Simon Spotlight</v>
      </c>
      <c r="H1108" s="2" t="str">
        <f>"1996"</f>
        <v>1996</v>
      </c>
      <c r="I1108" s="3" t="str">
        <f>""</f>
        <v/>
      </c>
    </row>
    <row r="1109" spans="1:9" x14ac:dyDescent="0.3">
      <c r="A1109" s="2">
        <v>1108</v>
      </c>
      <c r="B1109" s="4">
        <v>2.4</v>
      </c>
      <c r="C1109" s="3" t="str">
        <f>"TFC000000731"</f>
        <v>TFC000000731</v>
      </c>
      <c r="D1109" s="3" t="str">
        <f>"F800-20-0801-7(AR 2.4)"</f>
        <v>F800-20-0801-7(AR 2.4)</v>
      </c>
      <c r="E1109" s="3" t="str">
        <f>"Henry and Mudge and the tumbling trip : the twenty-seventh book of their adventures"</f>
        <v>Henry and Mudge and the tumbling trip : the twenty-seventh book of their adventures</v>
      </c>
      <c r="F1109" s="3" t="str">
        <f>"by Cynthia Rylant ; illustrated by Carolyn Bracken in the style of Suc?ie Stevenson"</f>
        <v>by Cynthia Rylant ; illustrated by Carolyn Bracken in the style of Suc?ie Stevenson</v>
      </c>
      <c r="G1109" s="3" t="str">
        <f>"Simon Spotlight"</f>
        <v>Simon Spotlight</v>
      </c>
      <c r="H1109" s="2" t="str">
        <f>"2005"</f>
        <v>2005</v>
      </c>
      <c r="I1109" s="3" t="str">
        <f>""</f>
        <v/>
      </c>
    </row>
    <row r="1110" spans="1:9" x14ac:dyDescent="0.3">
      <c r="A1110" s="2">
        <v>1109</v>
      </c>
      <c r="B1110" s="4">
        <v>2.4</v>
      </c>
      <c r="C1110" s="3" t="str">
        <f>"TFC000003918"</f>
        <v>TFC000003918</v>
      </c>
      <c r="D1110" s="3" t="str">
        <f>"F800-21-0246-7(AR 2.4)"</f>
        <v>F800-21-0246-7(AR 2.4)</v>
      </c>
      <c r="E1110" s="3" t="str">
        <f>"Hilo. 7, Gina - The girl who broke the world"</f>
        <v>Hilo. 7, Gina - The girl who broke the world</v>
      </c>
      <c r="F1110" s="3" t="str">
        <f>"by Judd Winick"</f>
        <v>by Judd Winick</v>
      </c>
      <c r="G1110" s="3" t="str">
        <f>"Random House"</f>
        <v>Random House</v>
      </c>
      <c r="H1110" s="2" t="str">
        <f>"2021"</f>
        <v>2021</v>
      </c>
      <c r="I1110" s="3" t="str">
        <f>""</f>
        <v/>
      </c>
    </row>
    <row r="1111" spans="1:9" x14ac:dyDescent="0.3">
      <c r="A1111" s="2">
        <v>1110</v>
      </c>
      <c r="B1111" s="4">
        <v>2.4</v>
      </c>
      <c r="C1111" s="3" t="str">
        <f>"TFC000000732"</f>
        <v>TFC000000732</v>
      </c>
      <c r="D1111" s="3" t="str">
        <f>"F800-20-0802-8(AR 2.4)"</f>
        <v>F800-20-0802-8(AR 2.4)</v>
      </c>
      <c r="E1111" s="3" t="str">
        <f>"Henry and Mudge in the green time : the third book of their adventures"</f>
        <v>Henry and Mudge in the green time : the third book of their adventures</v>
      </c>
      <c r="F1111" s="3" t="str">
        <f>"story by Cynthia Rylant ; pictures by Suc?ie Stevenson"</f>
        <v>story by Cynthia Rylant ; pictures by Suc?ie Stevenson</v>
      </c>
      <c r="G1111" s="3" t="str">
        <f>"Simon Spotlight"</f>
        <v>Simon Spotlight</v>
      </c>
      <c r="H1111" s="2" t="str">
        <f>"1992"</f>
        <v>1992</v>
      </c>
      <c r="I1111" s="3" t="str">
        <f>""</f>
        <v/>
      </c>
    </row>
    <row r="1112" spans="1:9" x14ac:dyDescent="0.3">
      <c r="A1112" s="2">
        <v>1111</v>
      </c>
      <c r="B1112" s="4" t="s">
        <v>25</v>
      </c>
      <c r="C1112" s="3" t="str">
        <f>"TFC000000733"</f>
        <v>TFC000000733</v>
      </c>
      <c r="D1112" s="3" t="str">
        <f>"F800-20-0803-9(AR 2.4)"</f>
        <v>F800-20-0803-9(AR 2.4)</v>
      </c>
      <c r="E1112" s="3" t="str">
        <f>"Henry and Mudge take the big test : the tenth book of their adventures"</f>
        <v>Henry and Mudge take the big test : the tenth book of their adventures</v>
      </c>
      <c r="F1112" s="3" t="str">
        <f>"story by Cynthia Rylant ; pictures by Suc?ie Stevenson"</f>
        <v>story by Cynthia Rylant ; pictures by Suc?ie Stevenson</v>
      </c>
      <c r="G1112" s="3" t="str">
        <f>"Simon Spotlight"</f>
        <v>Simon Spotlight</v>
      </c>
      <c r="H1112" s="2" t="str">
        <f>"1996"</f>
        <v>1996</v>
      </c>
      <c r="I1112" s="3" t="str">
        <f>""</f>
        <v/>
      </c>
    </row>
    <row r="1113" spans="1:9" x14ac:dyDescent="0.3">
      <c r="A1113" s="2">
        <v>1112</v>
      </c>
      <c r="B1113" s="4" t="s">
        <v>26</v>
      </c>
      <c r="C1113" s="3" t="str">
        <f>"TFC000003510"</f>
        <v>TFC000003510</v>
      </c>
      <c r="D1113" s="3" t="str">
        <f>"F800-21-0270-(AR 2.5)"</f>
        <v>F800-21-0270-(AR 2.5)</v>
      </c>
      <c r="E1113" s="3" t="str">
        <f>"Monkey me and the school ghost"</f>
        <v>Monkey me and the school ghost</v>
      </c>
      <c r="F1113" s="3" t="str">
        <f>"by Tim Roland"</f>
        <v>by Tim Roland</v>
      </c>
      <c r="G1113" s="3" t="str">
        <f>"Scholastic Inc"</f>
        <v>Scholastic Inc</v>
      </c>
      <c r="H1113" s="2" t="str">
        <f>"2020"</f>
        <v>2020</v>
      </c>
      <c r="I1113" s="2" t="s">
        <v>2</v>
      </c>
    </row>
    <row r="1114" spans="1:9" x14ac:dyDescent="0.3">
      <c r="A1114" s="2">
        <v>1113</v>
      </c>
      <c r="B1114" s="4" t="s">
        <v>26</v>
      </c>
      <c r="C1114" s="3" t="str">
        <f>"TFC000000743"</f>
        <v>TFC000000743</v>
      </c>
      <c r="D1114" s="3" t="str">
        <f>"F300-20-0821-(AR 2.5)"</f>
        <v>F300-20-0821-(AR 2.5)</v>
      </c>
      <c r="E1114" s="3" t="str">
        <f>"Why should I save energy?"</f>
        <v>Why should I save energy?</v>
      </c>
      <c r="F1114" s="3" t="str">
        <f>"written by Jen Green ; illustrated by Mike Gordon"</f>
        <v>written by Jen Green ; illustrated by Mike Gordon</v>
      </c>
      <c r="G1114" s="3" t="str">
        <f>"Barrons Educational Series"</f>
        <v>Barrons Educational Series</v>
      </c>
      <c r="H1114" s="2" t="str">
        <f>"2019"</f>
        <v>2019</v>
      </c>
      <c r="I1114" s="3" t="str">
        <f>""</f>
        <v/>
      </c>
    </row>
    <row r="1115" spans="1:9" x14ac:dyDescent="0.3">
      <c r="A1115" s="2">
        <v>1114</v>
      </c>
      <c r="B1115" s="4" t="s">
        <v>26</v>
      </c>
      <c r="C1115" s="3" t="str">
        <f>"TFC000000744"</f>
        <v>TFC000000744</v>
      </c>
      <c r="D1115" s="3" t="str">
        <f>"F400-20-0823-(AR 2.5)"</f>
        <v>F400-20-0823-(AR 2.5)</v>
      </c>
      <c r="E1115" s="3" t="str">
        <f>"(The)penny pot"</f>
        <v>(The)penny pot</v>
      </c>
      <c r="F1115" s="3" t="str">
        <f>"by Stuart J. Murphy ; illustrated by Lynne Cravath"</f>
        <v>by Stuart J. Murphy ; illustrated by Lynne Cravath</v>
      </c>
      <c r="G1115" s="3" t="str">
        <f>"HarperCollins Publishers"</f>
        <v>HarperCollins Publishers</v>
      </c>
      <c r="H1115" s="2" t="str">
        <f>"1998"</f>
        <v>1998</v>
      </c>
      <c r="I1115" s="3" t="str">
        <f>""</f>
        <v/>
      </c>
    </row>
    <row r="1116" spans="1:9" x14ac:dyDescent="0.3">
      <c r="A1116" s="2">
        <v>1115</v>
      </c>
      <c r="B1116" s="4" t="s">
        <v>26</v>
      </c>
      <c r="C1116" s="3" t="str">
        <f>"TFC000000745"</f>
        <v>TFC000000745</v>
      </c>
      <c r="D1116" s="3" t="str">
        <f>"F400-20-0824-(AR 2.5)"</f>
        <v>F400-20-0824-(AR 2.5)</v>
      </c>
      <c r="E1116" s="3" t="str">
        <f>"Animals in winter"</f>
        <v>Animals in winter</v>
      </c>
      <c r="F1116" s="3" t="str">
        <f>"by Henrietta Bancroft ; Richard G. Van Gelder ; illustrated by Helen K. Davie"</f>
        <v>by Henrietta Bancroft ; Richard G. Van Gelder ; illustrated by Helen K. Davie</v>
      </c>
      <c r="G1116" s="3" t="str">
        <f>"HarperCollins:HarperTrophy"</f>
        <v>HarperCollins:HarperTrophy</v>
      </c>
      <c r="H1116" s="2" t="str">
        <f>"1997"</f>
        <v>1997</v>
      </c>
      <c r="I1116" s="3" t="str">
        <f>""</f>
        <v/>
      </c>
    </row>
    <row r="1117" spans="1:9" x14ac:dyDescent="0.3">
      <c r="A1117" s="2">
        <v>1116</v>
      </c>
      <c r="B1117" s="4" t="s">
        <v>26</v>
      </c>
      <c r="C1117" s="3" t="str">
        <f>"TFC000000746"</f>
        <v>TFC000000746</v>
      </c>
      <c r="D1117" s="3" t="str">
        <f>"F500-20-0826-(AR 2.5)"</f>
        <v>F500-20-0826-(AR 2.5)</v>
      </c>
      <c r="E1117" s="3" t="str">
        <f>"How many teeth?"</f>
        <v>How many teeth?</v>
      </c>
      <c r="F1117" s="3" t="str">
        <f>"by Paul Showers ; illustrated by True Kelley"</f>
        <v>by Paul Showers ; illustrated by True Kelley</v>
      </c>
      <c r="G1117" s="3" t="str">
        <f>"HarperCollins Publishers"</f>
        <v>HarperCollins Publishers</v>
      </c>
      <c r="H1117" s="2" t="str">
        <f>"1991"</f>
        <v>1991</v>
      </c>
      <c r="I1117" s="3" t="str">
        <f>""</f>
        <v/>
      </c>
    </row>
    <row r="1118" spans="1:9" x14ac:dyDescent="0.3">
      <c r="A1118" s="2">
        <v>1117</v>
      </c>
      <c r="B1118" s="4" t="s">
        <v>26</v>
      </c>
      <c r="C1118" s="3" t="str">
        <f>"TFC000000747"</f>
        <v>TFC000000747</v>
      </c>
      <c r="D1118" s="3" t="str">
        <f>"F800-20-0827-(AR 2.5)"</f>
        <v>F800-20-0827-(AR 2.5)</v>
      </c>
      <c r="E1118" s="3" t="str">
        <f>"Arthur's valentine"</f>
        <v>Arthur's valentine</v>
      </c>
      <c r="F1118" s="3" t="str">
        <f>"by Marc Brown"</f>
        <v>by Marc Brown</v>
      </c>
      <c r="G1118" s="3" t="str">
        <f>"Little, Brown and Company"</f>
        <v>Little, Brown and Company</v>
      </c>
      <c r="H1118" s="2" t="str">
        <f>"2012"</f>
        <v>2012</v>
      </c>
      <c r="I1118" s="3" t="str">
        <f>""</f>
        <v/>
      </c>
    </row>
    <row r="1119" spans="1:9" x14ac:dyDescent="0.3">
      <c r="A1119" s="2">
        <v>1118</v>
      </c>
      <c r="B1119" s="4" t="s">
        <v>26</v>
      </c>
      <c r="C1119" s="3" t="str">
        <f>"TFC000000748"</f>
        <v>TFC000000748</v>
      </c>
      <c r="D1119" s="3" t="str">
        <f>"F800-20-0828-(AR 2.5)"</f>
        <v>F800-20-0828-(AR 2.5)</v>
      </c>
      <c r="E1119" s="3" t="str">
        <f>"Piggybook"</f>
        <v>Piggybook</v>
      </c>
      <c r="F1119" s="3" t="str">
        <f>"Anthony Browne"</f>
        <v>Anthony Browne</v>
      </c>
      <c r="G1119" s="3" t="str">
        <f>"Dragonfly Books"</f>
        <v>Dragonfly Books</v>
      </c>
      <c r="H1119" s="2" t="str">
        <f>"1986"</f>
        <v>1986</v>
      </c>
      <c r="I1119" s="3" t="str">
        <f>""</f>
        <v/>
      </c>
    </row>
    <row r="1120" spans="1:9" x14ac:dyDescent="0.3">
      <c r="A1120" s="2">
        <v>1119</v>
      </c>
      <c r="B1120" s="4" t="s">
        <v>26</v>
      </c>
      <c r="C1120" s="3" t="str">
        <f>"TFC000000749"</f>
        <v>TFC000000749</v>
      </c>
      <c r="D1120" s="3" t="str">
        <f>"F800-20-0829-(AR 2.5)"</f>
        <v>F800-20-0829-(AR 2.5)</v>
      </c>
      <c r="E1120" s="3" t="str">
        <f>"20,000 baseball cards under the sea"</f>
        <v>20,000 baseball cards under the sea</v>
      </c>
      <c r="F1120" s="3" t="str">
        <f>"by Jon Buller, Susan Schade"</f>
        <v>by Jon Buller, Susan Schade</v>
      </c>
      <c r="G1120" s="3" t="str">
        <f>"Random House"</f>
        <v>Random House</v>
      </c>
      <c r="H1120" s="2" t="str">
        <f>"1991"</f>
        <v>1991</v>
      </c>
      <c r="I1120" s="3" t="str">
        <f>""</f>
        <v/>
      </c>
    </row>
    <row r="1121" spans="1:9" x14ac:dyDescent="0.3">
      <c r="A1121" s="2">
        <v>1120</v>
      </c>
      <c r="B1121" s="4" t="s">
        <v>26</v>
      </c>
      <c r="C1121" s="3" t="str">
        <f>"TFC000000750"</f>
        <v>TFC000000750</v>
      </c>
      <c r="D1121" s="3" t="str">
        <f>"F800-20-0830-(AR 2.5)"</f>
        <v>F800-20-0830-(AR 2.5)</v>
      </c>
      <c r="E1121" s="3" t="str">
        <f>"Roller skates!"</f>
        <v>Roller skates!</v>
      </c>
      <c r="F1121" s="3" t="str">
        <f>"by Stephanie Calmenson ; illustrated by True Kelly"</f>
        <v>by Stephanie Calmenson ; illustrated by True Kelly</v>
      </c>
      <c r="G1121" s="3" t="str">
        <f>"Scholastic"</f>
        <v>Scholastic</v>
      </c>
      <c r="H1121" s="2" t="str">
        <f>"2003"</f>
        <v>2003</v>
      </c>
      <c r="I1121" s="3" t="str">
        <f>""</f>
        <v/>
      </c>
    </row>
    <row r="1122" spans="1:9" x14ac:dyDescent="0.3">
      <c r="A1122" s="2">
        <v>1121</v>
      </c>
      <c r="B1122" s="4" t="s">
        <v>26</v>
      </c>
      <c r="C1122" s="3" t="str">
        <f>"TFC000000751"</f>
        <v>TFC000000751</v>
      </c>
      <c r="D1122" s="3" t="str">
        <f>"F800-20-0831-(AR 2.5)"</f>
        <v>F800-20-0831-(AR 2.5)</v>
      </c>
      <c r="E1122" s="3" t="str">
        <f>"Jesse bear, what will you wear?"</f>
        <v>Jesse bear, what will you wear?</v>
      </c>
      <c r="F1122" s="3" t="str">
        <f>"by Nancy White Carlstrom ; illustrated by Bruce Degen"</f>
        <v>by Nancy White Carlstrom ; illustrated by Bruce Degen</v>
      </c>
      <c r="G1122" s="3" t="str">
        <f>"Aladdin Paperbacks"</f>
        <v>Aladdin Paperbacks</v>
      </c>
      <c r="H1122" s="2" t="str">
        <f>"1996"</f>
        <v>1996</v>
      </c>
      <c r="I1122" s="3" t="str">
        <f>""</f>
        <v/>
      </c>
    </row>
    <row r="1123" spans="1:9" x14ac:dyDescent="0.3">
      <c r="A1123" s="2">
        <v>1122</v>
      </c>
      <c r="B1123" s="4" t="s">
        <v>26</v>
      </c>
      <c r="C1123" s="3" t="str">
        <f>"TFC000000752"</f>
        <v>TFC000000752</v>
      </c>
      <c r="D1123" s="3" t="str">
        <f>"F800-20-0832-(AR 2.5)"</f>
        <v>F800-20-0832-(AR 2.5)</v>
      </c>
      <c r="E1123" s="3" t="str">
        <f>"Everett Anderson's goodbye"</f>
        <v>Everett Anderson's goodbye</v>
      </c>
      <c r="F1123" s="3" t="str">
        <f>"by Lucille Clifton ; illustrated by Ann Grifalconi"</f>
        <v>by Lucille Clifton ; illustrated by Ann Grifalconi</v>
      </c>
      <c r="G1123" s="3" t="str">
        <f>"Henry Holt and Company"</f>
        <v>Henry Holt and Company</v>
      </c>
      <c r="H1123" s="2" t="str">
        <f>"1988"</f>
        <v>1988</v>
      </c>
      <c r="I1123" s="3" t="str">
        <f>""</f>
        <v/>
      </c>
    </row>
    <row r="1124" spans="1:9" x14ac:dyDescent="0.3">
      <c r="A1124" s="2">
        <v>1123</v>
      </c>
      <c r="B1124" s="4" t="s">
        <v>26</v>
      </c>
      <c r="C1124" s="3" t="str">
        <f>"TFC000000753"</f>
        <v>TFC000000753</v>
      </c>
      <c r="D1124" s="3" t="str">
        <f>"F800-20-0833-(AR 2.5)"</f>
        <v>F800-20-0833-(AR 2.5)</v>
      </c>
      <c r="E1124" s="3" t="str">
        <f>"(The)Candy corn contest"</f>
        <v>(The)Candy corn contest</v>
      </c>
      <c r="F1124" s="3" t="str">
        <f>"Patricia Reilly Giff ; illustrated by Blanche Sims"</f>
        <v>Patricia Reilly Giff ; illustrated by Blanche Sims</v>
      </c>
      <c r="G1124" s="3" t="str">
        <f>"Yearling Books"</f>
        <v>Yearling Books</v>
      </c>
      <c r="H1124" s="2" t="str">
        <f>"1984"</f>
        <v>1984</v>
      </c>
      <c r="I1124" s="3" t="str">
        <f>""</f>
        <v/>
      </c>
    </row>
    <row r="1125" spans="1:9" x14ac:dyDescent="0.3">
      <c r="A1125" s="2">
        <v>1124</v>
      </c>
      <c r="B1125" s="4" t="s">
        <v>26</v>
      </c>
      <c r="C1125" s="3" t="str">
        <f>"TFC000000754"</f>
        <v>TFC000000754</v>
      </c>
      <c r="D1125" s="3" t="str">
        <f>"F800-20-0834-(AR 2.5)"</f>
        <v>F800-20-0834-(AR 2.5)</v>
      </c>
      <c r="E1125" s="3" t="str">
        <f>"Africa dream"</f>
        <v>Africa dream</v>
      </c>
      <c r="F1125" s="3" t="str">
        <f>"by Eloise Greenfield ; illustrated by Carole Byard"</f>
        <v>by Eloise Greenfield ; illustrated by Carole Byard</v>
      </c>
      <c r="G1125" s="3" t="str">
        <f>"HarperCollins Publishers"</f>
        <v>HarperCollins Publishers</v>
      </c>
      <c r="H1125" s="2" t="str">
        <f>"1977"</f>
        <v>1977</v>
      </c>
      <c r="I1125" s="3" t="str">
        <f>""</f>
        <v/>
      </c>
    </row>
    <row r="1126" spans="1:9" x14ac:dyDescent="0.3">
      <c r="A1126" s="2">
        <v>1125</v>
      </c>
      <c r="B1126" s="4" t="s">
        <v>26</v>
      </c>
      <c r="C1126" s="3" t="str">
        <f>"TFC000000755"</f>
        <v>TFC000000755</v>
      </c>
      <c r="D1126" s="3" t="str">
        <f>"F800-20-0835-(AR 2.5)"</f>
        <v>F800-20-0835-(AR 2.5)</v>
      </c>
      <c r="E1126" s="3" t="str">
        <f>"Silly Tilly's valentine"</f>
        <v>Silly Tilly's valentine</v>
      </c>
      <c r="F1126" s="3" t="str">
        <f>"story and pictures by Lillian Hoban"</f>
        <v>story and pictures by Lillian Hoban</v>
      </c>
      <c r="G1126" s="3" t="str">
        <f>"HarperTrophy"</f>
        <v>HarperTrophy</v>
      </c>
      <c r="H1126" s="2" t="str">
        <f>"1998"</f>
        <v>1998</v>
      </c>
      <c r="I1126" s="3" t="str">
        <f>""</f>
        <v/>
      </c>
    </row>
    <row r="1127" spans="1:9" x14ac:dyDescent="0.3">
      <c r="A1127" s="2">
        <v>1126</v>
      </c>
      <c r="B1127" s="4" t="s">
        <v>26</v>
      </c>
      <c r="C1127" s="3" t="str">
        <f>"TFC000000756"</f>
        <v>TFC000000756</v>
      </c>
      <c r="D1127" s="3" t="str">
        <f>"F800-20-0836-(AR 2.5)"</f>
        <v>F800-20-0836-(AR 2.5)</v>
      </c>
      <c r="E1127" s="3" t="str">
        <f>"(The)snowy day"</f>
        <v>(The)snowy day</v>
      </c>
      <c r="F1127" s="3" t="str">
        <f>"Ezra Jack Keats"</f>
        <v>Ezra Jack Keats</v>
      </c>
      <c r="G1127" s="3" t="str">
        <f>"Puffin Books"</f>
        <v>Puffin Books</v>
      </c>
      <c r="H1127" s="2" t="str">
        <f>"1976"</f>
        <v>1976</v>
      </c>
      <c r="I1127" s="3" t="str">
        <f>""</f>
        <v/>
      </c>
    </row>
    <row r="1128" spans="1:9" x14ac:dyDescent="0.3">
      <c r="A1128" s="2">
        <v>1127</v>
      </c>
      <c r="B1128" s="4" t="s">
        <v>26</v>
      </c>
      <c r="C1128" s="3" t="str">
        <f>"TFC000000757"</f>
        <v>TFC000000757</v>
      </c>
      <c r="D1128" s="3" t="str">
        <f>"F800-20-0837-(AR 2.5)"</f>
        <v>F800-20-0837-(AR 2.5)</v>
      </c>
      <c r="E1128" s="3" t="str">
        <f>"Whistle for Willie"</f>
        <v>Whistle for Willie</v>
      </c>
      <c r="F1128" s="3" t="str">
        <f>"Ezra Jack Keats"</f>
        <v>Ezra Jack Keats</v>
      </c>
      <c r="G1128" s="3" t="str">
        <f>"Viking Press"</f>
        <v>Viking Press</v>
      </c>
      <c r="H1128" s="2" t="str">
        <f>"1964"</f>
        <v>1964</v>
      </c>
      <c r="I1128" s="3" t="str">
        <f>""</f>
        <v/>
      </c>
    </row>
    <row r="1129" spans="1:9" x14ac:dyDescent="0.3">
      <c r="A1129" s="2">
        <v>1128</v>
      </c>
      <c r="B1129" s="4" t="s">
        <v>26</v>
      </c>
      <c r="C1129" s="3" t="str">
        <f>"TFC000000758"</f>
        <v>TFC000000758</v>
      </c>
      <c r="D1129" s="3" t="str">
        <f>"F800-20-0838-(AR 2.5)"</f>
        <v>F800-20-0838-(AR 2.5)</v>
      </c>
      <c r="E1129" s="3" t="str">
        <f>"(The)fattest, tallest, biggest snowman ever"</f>
        <v>(The)fattest, tallest, biggest snowman ever</v>
      </c>
      <c r="F1129" s="3" t="str">
        <f>"by Bettina Ling ; illustrated by Michael Rex"</f>
        <v>by Bettina Ling ; illustrated by Michael Rex</v>
      </c>
      <c r="G1129" s="3" t="str">
        <f>"Scholastic"</f>
        <v>Scholastic</v>
      </c>
      <c r="H1129" s="2" t="str">
        <f>"1997"</f>
        <v>1997</v>
      </c>
      <c r="I1129" s="3" t="str">
        <f>""</f>
        <v/>
      </c>
    </row>
    <row r="1130" spans="1:9" x14ac:dyDescent="0.3">
      <c r="A1130" s="2">
        <v>1129</v>
      </c>
      <c r="B1130" s="4" t="s">
        <v>26</v>
      </c>
      <c r="C1130" s="3" t="str">
        <f>"TFC000000759"</f>
        <v>TFC000000759</v>
      </c>
      <c r="D1130" s="3" t="str">
        <f>"F800-20-0839-(AR 2.5)"</f>
        <v>F800-20-0839-(AR 2.5)</v>
      </c>
      <c r="E1130" s="3" t="str">
        <f>"Days with frog and Toad"</f>
        <v>Days with frog and Toad</v>
      </c>
      <c r="F1130" s="3" t="str">
        <f>"by Arnold Lobel"</f>
        <v>by Arnold Lobel</v>
      </c>
      <c r="G1130" s="3" t="str">
        <f>"HarperCollins Publishers"</f>
        <v>HarperCollins Publishers</v>
      </c>
      <c r="H1130" s="2" t="str">
        <f>"1979"</f>
        <v>1979</v>
      </c>
      <c r="I1130" s="3" t="str">
        <f>""</f>
        <v/>
      </c>
    </row>
    <row r="1131" spans="1:9" x14ac:dyDescent="0.3">
      <c r="A1131" s="2">
        <v>1130</v>
      </c>
      <c r="B1131" s="4" t="s">
        <v>26</v>
      </c>
      <c r="C1131" s="3" t="str">
        <f>"TFC000000760"</f>
        <v>TFC000000760</v>
      </c>
      <c r="D1131" s="3" t="str">
        <f>"F800-20-0840-(AR 2.5)"</f>
        <v>F800-20-0840-(AR 2.5)</v>
      </c>
      <c r="E1131" s="3" t="str">
        <f>"Raven : a trickster tale from the Pacific Northwest"</f>
        <v>Raven : a trickster tale from the Pacific Northwest</v>
      </c>
      <c r="F1131" s="3" t="str">
        <f>"told and illustrated by Gerald McDermott"</f>
        <v>told and illustrated by Gerald McDermott</v>
      </c>
      <c r="G1131" s="3" t="str">
        <f>"Voyager Books:Harcourt"</f>
        <v>Voyager Books:Harcourt</v>
      </c>
      <c r="H1131" s="2" t="str">
        <f>"2001"</f>
        <v>2001</v>
      </c>
      <c r="I1131" s="3" t="str">
        <f>""</f>
        <v/>
      </c>
    </row>
    <row r="1132" spans="1:9" x14ac:dyDescent="0.3">
      <c r="A1132" s="2">
        <v>1131</v>
      </c>
      <c r="B1132" s="4" t="s">
        <v>26</v>
      </c>
      <c r="C1132" s="3" t="str">
        <f>"TFC000000761"</f>
        <v>TFC000000761</v>
      </c>
      <c r="D1132" s="3" t="str">
        <f>"F800-20-0841-(AR 2.5)"</f>
        <v>F800-20-0841-(AR 2.5)</v>
      </c>
      <c r="E1132" s="3" t="str">
        <f>"Amelia Bedelia"</f>
        <v>Amelia Bedelia</v>
      </c>
      <c r="F1132" s="3" t="str">
        <f>"by Peggy Parish ; pictures by Fritz Siebel"</f>
        <v>by Peggy Parish ; pictures by Fritz Siebel</v>
      </c>
      <c r="G1132" s="3" t="str">
        <f>"HarperCollins Publishers"</f>
        <v>HarperCollins Publishers</v>
      </c>
      <c r="H1132" s="2" t="str">
        <f>"2011"</f>
        <v>2011</v>
      </c>
      <c r="I1132" s="3" t="str">
        <f>""</f>
        <v/>
      </c>
    </row>
    <row r="1133" spans="1:9" x14ac:dyDescent="0.3">
      <c r="A1133" s="2">
        <v>1132</v>
      </c>
      <c r="B1133" s="4" t="s">
        <v>26</v>
      </c>
      <c r="C1133" s="3" t="str">
        <f>"TFC000000762"</f>
        <v>TFC000000762</v>
      </c>
      <c r="D1133" s="3" t="str">
        <f>"F800-20-0842-(AR 2.5)"</f>
        <v>F800-20-0842-(AR 2.5)</v>
      </c>
      <c r="E1133" s="3" t="str">
        <f>"Amelia Bedelia 4 mayor"</f>
        <v>Amelia Bedelia 4 mayor</v>
      </c>
      <c r="F1133" s="3" t="str">
        <f>"story by Herman Parish ; picture by Lynn Sweat"</f>
        <v>story by Herman Parish ; picture by Lynn Sweat</v>
      </c>
      <c r="G1133" s="3" t="str">
        <f>"HarperCollins Publishers"</f>
        <v>HarperCollins Publishers</v>
      </c>
      <c r="H1133" s="2" t="str">
        <f>"2001"</f>
        <v>2001</v>
      </c>
      <c r="I1133" s="3" t="str">
        <f>""</f>
        <v/>
      </c>
    </row>
    <row r="1134" spans="1:9" x14ac:dyDescent="0.3">
      <c r="A1134" s="2">
        <v>1133</v>
      </c>
      <c r="B1134" s="4" t="s">
        <v>26</v>
      </c>
      <c r="C1134" s="3" t="str">
        <f>"TFC000000763"</f>
        <v>TFC000000763</v>
      </c>
      <c r="D1134" s="3" t="str">
        <f>"F800-20-0843-(AR 2.5)"</f>
        <v>F800-20-0843-(AR 2.5)</v>
      </c>
      <c r="E1134" s="3" t="str">
        <f>"Bravo, Amelia Bedelia!"</f>
        <v>Bravo, Amelia Bedelia!</v>
      </c>
      <c r="F1134" s="3" t="str">
        <f>"by Herman Parish ; pictures by Lynn Sweat"</f>
        <v>by Herman Parish ; pictures by Lynn Sweat</v>
      </c>
      <c r="G1134" s="3" t="str">
        <f>"HarperCollins Publishers"</f>
        <v>HarperCollins Publishers</v>
      </c>
      <c r="H1134" s="2" t="str">
        <f>"1997"</f>
        <v>1997</v>
      </c>
      <c r="I1134" s="3" t="str">
        <f>""</f>
        <v/>
      </c>
    </row>
    <row r="1135" spans="1:9" x14ac:dyDescent="0.3">
      <c r="A1135" s="2">
        <v>1134</v>
      </c>
      <c r="B1135" s="4" t="s">
        <v>26</v>
      </c>
      <c r="C1135" s="3" t="str">
        <f>"TFC000000764"</f>
        <v>TFC000000764</v>
      </c>
      <c r="D1135" s="3" t="str">
        <f>"F800-20-0844-(AR 2.5)"</f>
        <v>F800-20-0844-(AR 2.5)</v>
      </c>
      <c r="E1135" s="3" t="str">
        <f>"(The)outside dog"</f>
        <v>(The)outside dog</v>
      </c>
      <c r="F1135" s="3" t="str">
        <f>"story by Charlotte Pomerantz ; pictures by Jennifer Plecas"</f>
        <v>story by Charlotte Pomerantz ; pictures by Jennifer Plecas</v>
      </c>
      <c r="G1135" s="3" t="str">
        <f>"Harper"</f>
        <v>Harper</v>
      </c>
      <c r="H1135" s="2" t="str">
        <f>"1993"</f>
        <v>1993</v>
      </c>
      <c r="I1135" s="3" t="str">
        <f>""</f>
        <v/>
      </c>
    </row>
    <row r="1136" spans="1:9" x14ac:dyDescent="0.3">
      <c r="A1136" s="2">
        <v>1135</v>
      </c>
      <c r="B1136" s="4" t="s">
        <v>26</v>
      </c>
      <c r="C1136" s="3" t="str">
        <f>"TFC000000766"</f>
        <v>TFC000000766</v>
      </c>
      <c r="D1136" s="3" t="str">
        <f>"F800-20-0846-(AR 2.5)"</f>
        <v>F800-20-0846-(AR 2.5)</v>
      </c>
      <c r="E1136" s="3" t="str">
        <f>"What the dinosaurs saw"</f>
        <v>What the dinosaurs saw</v>
      </c>
      <c r="F1136" s="3" t="str">
        <f>"by Miriam Schlein ; illustrated by Carol Schwartz"</f>
        <v>by Miriam Schlein ; illustrated by Carol Schwartz</v>
      </c>
      <c r="G1136" s="3" t="str">
        <f>"Scholastic"</f>
        <v>Scholastic</v>
      </c>
      <c r="H1136" s="2" t="str">
        <f>"1998"</f>
        <v>1998</v>
      </c>
      <c r="I1136" s="3" t="str">
        <f>""</f>
        <v/>
      </c>
    </row>
    <row r="1137" spans="1:9" x14ac:dyDescent="0.3">
      <c r="A1137" s="2">
        <v>1136</v>
      </c>
      <c r="B1137" s="4" t="s">
        <v>26</v>
      </c>
      <c r="C1137" s="3" t="str">
        <f>"TFC000000767"</f>
        <v>TFC000000767</v>
      </c>
      <c r="D1137" s="3" t="str">
        <f>"F800-20-0847-(AR 2.5)"</f>
        <v>F800-20-0847-(AR 2.5)</v>
      </c>
      <c r="E1137" s="3" t="str">
        <f>"In a dark, dark room and other scary stories"</f>
        <v>In a dark, dark room and other scary stories</v>
      </c>
      <c r="F1137" s="3" t="str">
        <f>"retold by Alvin Schwartz ; pictures by Dirk Zimmer"</f>
        <v>retold by Alvin Schwartz ; pictures by Dirk Zimmer</v>
      </c>
      <c r="G1137" s="3" t="str">
        <f>"HarperTrophy:Moonjin Media"</f>
        <v>HarperTrophy:Moonjin Media</v>
      </c>
      <c r="H1137" s="2" t="str">
        <f>"1984"</f>
        <v>1984</v>
      </c>
      <c r="I1137" s="3" t="str">
        <f>""</f>
        <v/>
      </c>
    </row>
    <row r="1138" spans="1:9" x14ac:dyDescent="0.3">
      <c r="A1138" s="2">
        <v>1137</v>
      </c>
      <c r="B1138" s="4" t="s">
        <v>26</v>
      </c>
      <c r="C1138" s="3" t="str">
        <f>"TFC000000768"</f>
        <v>TFC000000768</v>
      </c>
      <c r="D1138" s="3" t="str">
        <f>"F800-20-0848-(AR 2.5)"</f>
        <v>F800-20-0848-(AR 2.5)</v>
      </c>
      <c r="E1138" s="3" t="str">
        <f>"In the night kitchen"</f>
        <v>In the night kitchen</v>
      </c>
      <c r="F1138" s="3" t="str">
        <f>"by Maurice Sendak"</f>
        <v>by Maurice Sendak</v>
      </c>
      <c r="G1138" s="3" t="str">
        <f>"HarperCollins Publishers"</f>
        <v>HarperCollins Publishers</v>
      </c>
      <c r="H1138" s="2" t="str">
        <f>"1998"</f>
        <v>1998</v>
      </c>
      <c r="I1138" s="3" t="str">
        <f>""</f>
        <v/>
      </c>
    </row>
    <row r="1139" spans="1:9" x14ac:dyDescent="0.3">
      <c r="A1139" s="2">
        <v>1138</v>
      </c>
      <c r="B1139" s="4" t="s">
        <v>26</v>
      </c>
      <c r="C1139" s="3" t="str">
        <f>"TFC000000769"</f>
        <v>TFC000000769</v>
      </c>
      <c r="D1139" s="3" t="str">
        <f>"F800-20-0849-(AR 2.5)"</f>
        <v>F800-20-0849-(AR 2.5)</v>
      </c>
      <c r="E1139" s="3" t="str">
        <f>"Nate the great and the pillowcase"</f>
        <v>Nate the great and the pillowcase</v>
      </c>
      <c r="F1139" s="3" t="str">
        <f>"by Marjorie Weinman Sharmat, Rosalind Weinman ; illustrated by Marc Simont"</f>
        <v>by Marjorie Weinman Sharmat, Rosalind Weinman ; illustrated by Marc Simont</v>
      </c>
      <c r="G1139" s="3" t="str">
        <f>"Yearling Book"</f>
        <v>Yearling Book</v>
      </c>
      <c r="H1139" s="2" t="str">
        <f>"2006"</f>
        <v>2006</v>
      </c>
      <c r="I1139" s="3" t="str">
        <f>""</f>
        <v/>
      </c>
    </row>
    <row r="1140" spans="1:9" x14ac:dyDescent="0.3">
      <c r="A1140" s="2">
        <v>1139</v>
      </c>
      <c r="B1140" s="4" t="s">
        <v>26</v>
      </c>
      <c r="C1140" s="3" t="str">
        <f>"TFC000000770"</f>
        <v>TFC000000770</v>
      </c>
      <c r="D1140" s="3" t="str">
        <f>"F800-20-0850-(AR 2.5)"</f>
        <v>F800-20-0850-(AR 2.5)</v>
      </c>
      <c r="E1140" s="3" t="str">
        <f>"Nate the great and the tardy tortoise"</f>
        <v>Nate the great and the tardy tortoise</v>
      </c>
      <c r="F1140" s="3" t="str">
        <f>"by Marjorie Weinman Sharmat, Craig Sharmat ; illustrated by Marc Simont"</f>
        <v>by Marjorie Weinman Sharmat, Craig Sharmat ; illustrated by Marc Simont</v>
      </c>
      <c r="G1140" s="3" t="str">
        <f>"Yearling Book"</f>
        <v>Yearling Book</v>
      </c>
      <c r="H1140" s="2" t="str">
        <f>"2005"</f>
        <v>2005</v>
      </c>
      <c r="I1140" s="3" t="str">
        <f>""</f>
        <v/>
      </c>
    </row>
    <row r="1141" spans="1:9" x14ac:dyDescent="0.3">
      <c r="A1141" s="2">
        <v>1140</v>
      </c>
      <c r="B1141" s="4" t="s">
        <v>26</v>
      </c>
      <c r="C1141" s="3" t="str">
        <f>"TFC000000771"</f>
        <v>TFC000000771</v>
      </c>
      <c r="D1141" s="3" t="str">
        <f>"F800-20-0851-(AR 2.5)"</f>
        <v>F800-20-0851-(AR 2.5)</v>
      </c>
      <c r="E1141" s="3" t="str">
        <f>"Stay in line"</f>
        <v>Stay in line</v>
      </c>
      <c r="F1141" s="3" t="str">
        <f>"by Teddy Slater ; illustrated by Gioia Fiammenghi ; math activities by Marilyn Burns"</f>
        <v>by Teddy Slater ; illustrated by Gioia Fiammenghi ; math activities by Marilyn Burns</v>
      </c>
      <c r="G1141" s="3" t="str">
        <f>"Scholastic"</f>
        <v>Scholastic</v>
      </c>
      <c r="H1141" s="2" t="str">
        <f>"2008"</f>
        <v>2008</v>
      </c>
      <c r="I1141" s="3" t="str">
        <f>""</f>
        <v/>
      </c>
    </row>
    <row r="1142" spans="1:9" x14ac:dyDescent="0.3">
      <c r="A1142" s="2">
        <v>1141</v>
      </c>
      <c r="B1142" s="4" t="s">
        <v>26</v>
      </c>
      <c r="C1142" s="3" t="str">
        <f>"TFC000000772"</f>
        <v>TFC000000772</v>
      </c>
      <c r="D1142" s="3" t="str">
        <f>"F800-20-0852-(AR 2.5)"</f>
        <v>F800-20-0852-(AR 2.5)</v>
      </c>
      <c r="E1142" s="3" t="str">
        <f>"(The)adventures of snail at school"</f>
        <v>(The)adventures of snail at school</v>
      </c>
      <c r="F1142" s="3" t="str">
        <f>"by John Stadler"</f>
        <v>by John Stadler</v>
      </c>
      <c r="G1142" s="3" t="str">
        <f>"HarperTrophy:Moonjin Media"</f>
        <v>HarperTrophy:Moonjin Media</v>
      </c>
      <c r="H1142" s="2" t="str">
        <f>"1993"</f>
        <v>1993</v>
      </c>
      <c r="I1142" s="3" t="str">
        <f>""</f>
        <v/>
      </c>
    </row>
    <row r="1143" spans="1:9" x14ac:dyDescent="0.3">
      <c r="A1143" s="2">
        <v>1142</v>
      </c>
      <c r="B1143" s="4" t="s">
        <v>26</v>
      </c>
      <c r="C1143" s="3" t="str">
        <f>"TFC000000773"</f>
        <v>TFC000000773</v>
      </c>
      <c r="D1143" s="3" t="str">
        <f>"F800-20-0853-(AR 2.5)"</f>
        <v>F800-20-0853-(AR 2.5)</v>
      </c>
      <c r="E1143" s="3" t="str">
        <f>"(The)bravest dog ever the true story of Balto"</f>
        <v>(The)bravest dog ever the true story of Balto</v>
      </c>
      <c r="F1143" s="3" t="str">
        <f>"by Natalie Standiford ; illustrated by Donald Cook"</f>
        <v>by Natalie Standiford ; illustrated by Donald Cook</v>
      </c>
      <c r="G1143" s="3" t="str">
        <f>"Random House"</f>
        <v>Random House</v>
      </c>
      <c r="H1143" s="2" t="str">
        <f>"2014"</f>
        <v>2014</v>
      </c>
      <c r="I1143" s="3" t="str">
        <f>""</f>
        <v/>
      </c>
    </row>
    <row r="1144" spans="1:9" x14ac:dyDescent="0.3">
      <c r="A1144" s="2">
        <v>1143</v>
      </c>
      <c r="B1144" s="4" t="s">
        <v>26</v>
      </c>
      <c r="C1144" s="3" t="str">
        <f>"TFC000000774"</f>
        <v>TFC000000774</v>
      </c>
      <c r="D1144" s="3" t="str">
        <f>"F800-20-0854-(AR 2.5)"</f>
        <v>F800-20-0854-(AR 2.5)</v>
      </c>
      <c r="E1144" s="3" t="str">
        <f>"Over in the meadow"</f>
        <v>Over in the meadow</v>
      </c>
      <c r="F1144" s="3" t="str">
        <f>"based on the original version by Olive A. Wadsworth ; illustrated by Ezra Jack Keats"</f>
        <v>based on the original version by Olive A. Wadsworth ; illustrated by Ezra Jack Keats</v>
      </c>
      <c r="G1144" s="3" t="str">
        <f>"Scholastic"</f>
        <v>Scholastic</v>
      </c>
      <c r="H1144" s="2" t="str">
        <f>"1971"</f>
        <v>1971</v>
      </c>
      <c r="I1144" s="3" t="str">
        <f>""</f>
        <v/>
      </c>
    </row>
    <row r="1145" spans="1:9" x14ac:dyDescent="0.3">
      <c r="A1145" s="2">
        <v>1144</v>
      </c>
      <c r="B1145" s="4" t="s">
        <v>26</v>
      </c>
      <c r="C1145" s="3" t="str">
        <f>"TFC000000775"</f>
        <v>TFC000000775</v>
      </c>
      <c r="D1145" s="3" t="str">
        <f>"F800-20-0855-(AR 2.5)"</f>
        <v>F800-20-0855-(AR 2.5)</v>
      </c>
      <c r="E1145" s="3" t="str">
        <f>"More more more, said the baby : 3 love stories"</f>
        <v>More more more, said the baby : 3 love stories</v>
      </c>
      <c r="F1145" s="3" t="str">
        <f>"Vera B. Williams"</f>
        <v>Vera B. Williams</v>
      </c>
      <c r="G1145" s="3" t="str">
        <f>"Greenwillow Books"</f>
        <v>Greenwillow Books</v>
      </c>
      <c r="H1145" s="2" t="str">
        <f>"1990"</f>
        <v>1990</v>
      </c>
      <c r="I1145" s="3" t="str">
        <f>""</f>
        <v/>
      </c>
    </row>
    <row r="1146" spans="1:9" x14ac:dyDescent="0.3">
      <c r="A1146" s="2">
        <v>1145</v>
      </c>
      <c r="B1146" s="4" t="s">
        <v>26</v>
      </c>
      <c r="C1146" s="3" t="str">
        <f>"TFC000000776"</f>
        <v>TFC000000776</v>
      </c>
      <c r="D1146" s="3" t="str">
        <f>"F800-20-0856-(AR 2.5)"</f>
        <v>F800-20-0856-(AR 2.5)</v>
      </c>
      <c r="E1146" s="3" t="str">
        <f>"(The)jolly postman or Other people's letters"</f>
        <v>(The)jolly postman or Other people's letters</v>
      </c>
      <c r="F1146" s="3" t="str">
        <f>"Janet Ahlberg, Allan Ahlberg"</f>
        <v>Janet Ahlberg, Allan Ahlberg</v>
      </c>
      <c r="G1146" s="3" t="str">
        <f>"Puffin Books"</f>
        <v>Puffin Books</v>
      </c>
      <c r="H1146" s="2" t="str">
        <f>"2002"</f>
        <v>2002</v>
      </c>
      <c r="I1146" s="3" t="str">
        <f>""</f>
        <v/>
      </c>
    </row>
    <row r="1147" spans="1:9" x14ac:dyDescent="0.3">
      <c r="A1147" s="2">
        <v>1146</v>
      </c>
      <c r="B1147" s="4" t="s">
        <v>26</v>
      </c>
      <c r="C1147" s="3" t="str">
        <f>"TFC000000777"</f>
        <v>TFC000000777</v>
      </c>
      <c r="D1147" s="3" t="str">
        <f>"F800-20-0857-(AR 2.5)"</f>
        <v>F800-20-0857-(AR 2.5)</v>
      </c>
      <c r="E1147" s="3" t="str">
        <f>"Quest for the heart"</f>
        <v>Quest for the heart</v>
      </c>
      <c r="F1147" s="3" t="str">
        <f>"by Susan Amerikan ; illustrated by Disney Storybook Art Team"</f>
        <v>by Susan Amerikan ; illustrated by Disney Storybook Art Team</v>
      </c>
      <c r="G1147" s="3" t="str">
        <f>"Two Ponds"</f>
        <v>Two Ponds</v>
      </c>
      <c r="H1147" s="2" t="str">
        <f>"2014"</f>
        <v>2014</v>
      </c>
      <c r="I1147" s="3" t="str">
        <f>""</f>
        <v/>
      </c>
    </row>
    <row r="1148" spans="1:9" x14ac:dyDescent="0.3">
      <c r="A1148" s="2">
        <v>1147</v>
      </c>
      <c r="B1148" s="4" t="s">
        <v>26</v>
      </c>
      <c r="C1148" s="3" t="str">
        <f>"TFC000000778"</f>
        <v>TFC000000778</v>
      </c>
      <c r="D1148" s="3" t="str">
        <f>"F800-20-0858-(AR 2.5)"</f>
        <v>F800-20-0858-(AR 2.5)</v>
      </c>
      <c r="E1148" s="3" t="str">
        <f>"(The)great Santa stakeout"</f>
        <v>(The)great Santa stakeout</v>
      </c>
      <c r="F1148" s="3" t="str">
        <f>"written by Betsy Bird ; illustrated by Dan Santa"</f>
        <v>written by Betsy Bird ; illustrated by Dan Santa</v>
      </c>
      <c r="G1148" s="3" t="str">
        <f>"Arthur A. Levine Books"</f>
        <v>Arthur A. Levine Books</v>
      </c>
      <c r="H1148" s="2" t="str">
        <f>"2019"</f>
        <v>2019</v>
      </c>
      <c r="I1148" s="3" t="str">
        <f>""</f>
        <v/>
      </c>
    </row>
    <row r="1149" spans="1:9" x14ac:dyDescent="0.3">
      <c r="A1149" s="2">
        <v>1148</v>
      </c>
      <c r="B1149" s="4" t="s">
        <v>26</v>
      </c>
      <c r="C1149" s="3" t="str">
        <f>"TFC000000780"</f>
        <v>TFC000000780</v>
      </c>
      <c r="D1149" s="3" t="str">
        <f>"F800-20-0860-(AR 2.5)"</f>
        <v>F800-20-0860-(AR 2.5)</v>
      </c>
      <c r="E1149" s="3" t="str">
        <f>"Harry and Horsie"</f>
        <v>Harry and Horsie</v>
      </c>
      <c r="F1149" s="3" t="str">
        <f>"Katie Van Camp ; illustrated by Lincoln Agnew"</f>
        <v>Katie Van Camp ; illustrated by Lincoln Agnew</v>
      </c>
      <c r="G1149" s="3" t="str">
        <f>"Balzer &amp; Bray"</f>
        <v>Balzer &amp; Bray</v>
      </c>
      <c r="H1149" s="2" t="str">
        <f>"2009"</f>
        <v>2009</v>
      </c>
      <c r="I1149" s="3" t="str">
        <f>""</f>
        <v/>
      </c>
    </row>
    <row r="1150" spans="1:9" x14ac:dyDescent="0.3">
      <c r="A1150" s="2">
        <v>1149</v>
      </c>
      <c r="B1150" s="4" t="s">
        <v>26</v>
      </c>
      <c r="C1150" s="3" t="str">
        <f>"TFC000000781"</f>
        <v>TFC000000781</v>
      </c>
      <c r="D1150" s="3" t="str">
        <f>"F800-20-0861-(AR 2.5)"</f>
        <v>F800-20-0861-(AR 2.5)</v>
      </c>
      <c r="E1150" s="3" t="str">
        <f>"There was a cold lady who swallowed some snow"</f>
        <v>There was a cold lady who swallowed some snow</v>
      </c>
      <c r="F1150" s="3" t="str">
        <f>"by Lucille Colandro ; illustrated by Jared Lee"</f>
        <v>by Lucille Colandro ; illustrated by Jared Lee</v>
      </c>
      <c r="G1150" s="3" t="str">
        <f>"Scholastic"</f>
        <v>Scholastic</v>
      </c>
      <c r="H1150" s="2" t="str">
        <f>"2003"</f>
        <v>2003</v>
      </c>
      <c r="I1150" s="3" t="str">
        <f>""</f>
        <v/>
      </c>
    </row>
    <row r="1151" spans="1:9" x14ac:dyDescent="0.3">
      <c r="A1151" s="2">
        <v>1150</v>
      </c>
      <c r="B1151" s="4" t="s">
        <v>26</v>
      </c>
      <c r="C1151" s="3" t="str">
        <f>"TFC000000782"</f>
        <v>TFC000000782</v>
      </c>
      <c r="D1151" s="3" t="str">
        <f>"F800-20-0862-(AR 2.5)"</f>
        <v>F800-20-0862-(AR 2.5)</v>
      </c>
      <c r="E1151" s="3" t="str">
        <f>"Click, clack, boo! : a tricky treat"</f>
        <v>Click, clack, boo! : a tricky treat</v>
      </c>
      <c r="F1151" s="3" t="str">
        <f>"Doreen Cronin ; iIllustrated by Betsy Lewin"</f>
        <v>Doreen Cronin ; iIllustrated by Betsy Lewin</v>
      </c>
      <c r="G1151" s="3" t="str">
        <f>"Atheneum Books for Young Readers"</f>
        <v>Atheneum Books for Young Readers</v>
      </c>
      <c r="H1151" s="2" t="str">
        <f>"2013"</f>
        <v>2013</v>
      </c>
      <c r="I1151" s="3" t="str">
        <f>""</f>
        <v/>
      </c>
    </row>
    <row r="1152" spans="1:9" x14ac:dyDescent="0.3">
      <c r="A1152" s="2">
        <v>1151</v>
      </c>
      <c r="B1152" s="4" t="s">
        <v>26</v>
      </c>
      <c r="C1152" s="3" t="str">
        <f>"TFC000000783"</f>
        <v>TFC000000783</v>
      </c>
      <c r="D1152" s="3" t="str">
        <f>"F800-20-0863-(AR 2.5)"</f>
        <v>F800-20-0863-(AR 2.5)</v>
      </c>
      <c r="E1152" s="3" t="str">
        <f>"Diary of a spider"</f>
        <v>Diary of a spider</v>
      </c>
      <c r="F1152" s="3" t="str">
        <f>"by Doreen Cronin ; pictures by Harry Bliss"</f>
        <v>by Doreen Cronin ; pictures by Harry Bliss</v>
      </c>
      <c r="G1152" s="3" t="str">
        <f>"Joanna Cotler Books"</f>
        <v>Joanna Cotler Books</v>
      </c>
      <c r="H1152" s="2" t="str">
        <f>"2005"</f>
        <v>2005</v>
      </c>
      <c r="I1152" s="3" t="str">
        <f>""</f>
        <v/>
      </c>
    </row>
    <row r="1153" spans="1:9" x14ac:dyDescent="0.3">
      <c r="A1153" s="2">
        <v>1152</v>
      </c>
      <c r="B1153" s="4" t="s">
        <v>26</v>
      </c>
      <c r="C1153" s="3" t="str">
        <f>"TFC000000784"</f>
        <v>TFC000000784</v>
      </c>
      <c r="D1153" s="3" t="str">
        <f>"F800-20-0864-(AR 2.5)"</f>
        <v>F800-20-0864-(AR 2.5)</v>
      </c>
      <c r="E1153" s="3" t="str">
        <f>"Rescue bunnies"</f>
        <v>Rescue bunnies</v>
      </c>
      <c r="F1153" s="3" t="str">
        <f>"Doreen Cronin ; illustrated by Scott Menchin"</f>
        <v>Doreen Cronin ; illustrated by Scott Menchin</v>
      </c>
      <c r="G1153" s="3" t="str">
        <f>"Balzer+Bray"</f>
        <v>Balzer+Bray</v>
      </c>
      <c r="H1153" s="2" t="str">
        <f>"2010"</f>
        <v>2010</v>
      </c>
      <c r="I1153" s="3" t="str">
        <f>""</f>
        <v/>
      </c>
    </row>
    <row r="1154" spans="1:9" x14ac:dyDescent="0.3">
      <c r="A1154" s="2">
        <v>1153</v>
      </c>
      <c r="B1154" s="4" t="s">
        <v>26</v>
      </c>
      <c r="C1154" s="3" t="str">
        <f>"TFC000000785"</f>
        <v>TFC000000785</v>
      </c>
      <c r="D1154" s="3" t="str">
        <f>"F800-20-0865-(AR 2.5)"</f>
        <v>F800-20-0865-(AR 2.5)</v>
      </c>
      <c r="E1154" s="3" t="str">
        <f>"Inspector hopper"</f>
        <v>Inspector hopper</v>
      </c>
      <c r="F1154" s="3" t="str">
        <f>"story and pictures by Doug Cushman"</f>
        <v>story and pictures by Doug Cushman</v>
      </c>
      <c r="G1154" s="3" t="str">
        <f>"HarperCollins Publishers"</f>
        <v>HarperCollins Publishers</v>
      </c>
      <c r="H1154" s="2" t="str">
        <f>"2000"</f>
        <v>2000</v>
      </c>
      <c r="I1154" s="3" t="str">
        <f>""</f>
        <v/>
      </c>
    </row>
    <row r="1155" spans="1:9" x14ac:dyDescent="0.3">
      <c r="A1155" s="2">
        <v>1154</v>
      </c>
      <c r="B1155" s="4" t="s">
        <v>26</v>
      </c>
      <c r="C1155" s="3" t="str">
        <f>"TFC000000786"</f>
        <v>TFC000000786</v>
      </c>
      <c r="D1155" s="3" t="str">
        <f>"F800-20-0866-(AR 2.5)"</f>
        <v>F800-20-0866-(AR 2.5)</v>
      </c>
      <c r="E1155" s="3" t="str">
        <f>"Gilbert and the lost tooth"</f>
        <v>Gilbert and the lost tooth</v>
      </c>
      <c r="F1155" s="3" t="str">
        <f>"by Diane deGroat"</f>
        <v>by Diane deGroat</v>
      </c>
      <c r="G1155" s="3" t="str">
        <f>"HarperTrophy"</f>
        <v>HarperTrophy</v>
      </c>
      <c r="H1155" s="2" t="str">
        <f>"2012"</f>
        <v>2012</v>
      </c>
      <c r="I1155" s="3" t="str">
        <f>""</f>
        <v/>
      </c>
    </row>
    <row r="1156" spans="1:9" x14ac:dyDescent="0.3">
      <c r="A1156" s="2">
        <v>1155</v>
      </c>
      <c r="B1156" s="4" t="s">
        <v>26</v>
      </c>
      <c r="C1156" s="3" t="str">
        <f>"TFC000000787"</f>
        <v>TFC000000787</v>
      </c>
      <c r="D1156" s="3" t="str">
        <f>"F800-20-0867-(AR 2.5)"</f>
        <v>F800-20-0867-(AR 2.5)</v>
      </c>
      <c r="E1156" s="3" t="str">
        <f>"Windows"</f>
        <v>Windows</v>
      </c>
      <c r="F1156" s="3" t="str">
        <f>"Julia Denos ; illustrated by E. B. Goodale"</f>
        <v>Julia Denos ; illustrated by E. B. Goodale</v>
      </c>
      <c r="G1156" s="3" t="str">
        <f>"Candlewick Press"</f>
        <v>Candlewick Press</v>
      </c>
      <c r="H1156" s="2" t="str">
        <f>"2017"</f>
        <v>2017</v>
      </c>
      <c r="I1156" s="3" t="str">
        <f>""</f>
        <v/>
      </c>
    </row>
    <row r="1157" spans="1:9" x14ac:dyDescent="0.3">
      <c r="A1157" s="2">
        <v>1156</v>
      </c>
      <c r="B1157" s="4" t="s">
        <v>26</v>
      </c>
      <c r="C1157" s="3" t="str">
        <f>"TFC000000789"</f>
        <v>TFC000000789</v>
      </c>
      <c r="D1157" s="3" t="str">
        <f>"F800-20-0869-(AR 2.5)"</f>
        <v>F800-20-0869-(AR 2.5)</v>
      </c>
      <c r="E1157" s="3" t="str">
        <f>"(The)gruffalo's child"</f>
        <v>(The)gruffalo's child</v>
      </c>
      <c r="F1157" s="3" t="str">
        <f>"written by Julia Donaldson ; illustrated by Axel Scheffler"</f>
        <v>written by Julia Donaldson ; illustrated by Axel Scheffler</v>
      </c>
      <c r="G1157" s="3" t="str">
        <f>"Macmillan Children's Books"</f>
        <v>Macmillan Children's Books</v>
      </c>
      <c r="H1157" s="2" t="str">
        <f>"2016"</f>
        <v>2016</v>
      </c>
      <c r="I1157" s="3" t="str">
        <f>""</f>
        <v/>
      </c>
    </row>
    <row r="1158" spans="1:9" x14ac:dyDescent="0.3">
      <c r="A1158" s="2">
        <v>1157</v>
      </c>
      <c r="B1158" s="4" t="s">
        <v>26</v>
      </c>
      <c r="C1158" s="3" t="str">
        <f>"TFC000000791"</f>
        <v>TFC000000791</v>
      </c>
      <c r="D1158" s="3" t="str">
        <f>"F800-20-0870-(AR 2.5)"</f>
        <v>F800-20-0870-(AR 2.5)</v>
      </c>
      <c r="E1158" s="3" t="str">
        <f>"Yasmin the gardener"</f>
        <v>Yasmin the gardener</v>
      </c>
      <c r="F1158" s="3" t="str">
        <f>"written by Saadia Faruqi ; illustrated by Hatem Aly"</f>
        <v>written by Saadia Faruqi ; illustrated by Hatem Aly</v>
      </c>
      <c r="G1158" s="3" t="str">
        <f>"Picture Window Books"</f>
        <v>Picture Window Books</v>
      </c>
      <c r="H1158" s="2" t="str">
        <f>"2020"</f>
        <v>2020</v>
      </c>
      <c r="I1158" s="3" t="str">
        <f>""</f>
        <v/>
      </c>
    </row>
    <row r="1159" spans="1:9" x14ac:dyDescent="0.3">
      <c r="A1159" s="2">
        <v>1158</v>
      </c>
      <c r="B1159" s="4" t="s">
        <v>26</v>
      </c>
      <c r="C1159" s="3" t="str">
        <f>"TFC000000792"</f>
        <v>TFC000000792</v>
      </c>
      <c r="D1159" s="3" t="str">
        <f>"F800-20-0871-(AR 2.5)"</f>
        <v>F800-20-0871-(AR 2.5)</v>
      </c>
      <c r="E1159" s="3" t="str">
        <f>"Yasmin the writer"</f>
        <v>Yasmin the writer</v>
      </c>
      <c r="F1159" s="3" t="str">
        <f>"written by Saadia Faruqi ; illustrated by Hatem Aly"</f>
        <v>written by Saadia Faruqi ; illustrated by Hatem Aly</v>
      </c>
      <c r="G1159" s="3" t="str">
        <f>"Picture Window Books"</f>
        <v>Picture Window Books</v>
      </c>
      <c r="H1159" s="2" t="str">
        <f>"2020"</f>
        <v>2020</v>
      </c>
      <c r="I1159" s="3" t="str">
        <f>""</f>
        <v/>
      </c>
    </row>
    <row r="1160" spans="1:9" x14ac:dyDescent="0.3">
      <c r="A1160" s="2">
        <v>1159</v>
      </c>
      <c r="B1160" s="4" t="s">
        <v>26</v>
      </c>
      <c r="C1160" s="3" t="str">
        <f>"TFC000000793"</f>
        <v>TFC000000793</v>
      </c>
      <c r="D1160" s="3" t="str">
        <f>"F800-20-0872-(AR 2.5)"</f>
        <v>F800-20-0872-(AR 2.5)</v>
      </c>
      <c r="E1160" s="3" t="str">
        <f>"Diary of a wombat"</f>
        <v>Diary of a wombat</v>
      </c>
      <c r="F1160" s="3" t="str">
        <f>"by Jackie French ; illustrated by Bruce Whatley"</f>
        <v>by Jackie French ; illustrated by Bruce Whatley</v>
      </c>
      <c r="G1160" s="3" t="str">
        <f>"Sandpiper"</f>
        <v>Sandpiper</v>
      </c>
      <c r="H1160" s="2" t="str">
        <f>"2009"</f>
        <v>2009</v>
      </c>
      <c r="I1160" s="3" t="str">
        <f>""</f>
        <v/>
      </c>
    </row>
    <row r="1161" spans="1:9" x14ac:dyDescent="0.3">
      <c r="A1161" s="2">
        <v>1160</v>
      </c>
      <c r="B1161" s="4" t="s">
        <v>26</v>
      </c>
      <c r="C1161" s="3" t="str">
        <f>"TFC000000794"</f>
        <v>TFC000000794</v>
      </c>
      <c r="D1161" s="3" t="str">
        <f>"F800-20-0873-(AR 2.5)"</f>
        <v>F800-20-0873-(AR 2.5)</v>
      </c>
      <c r="E1161" s="3" t="str">
        <f>"Keeping clean"</f>
        <v>Keeping clean</v>
      </c>
      <c r="F1161" s="3" t="str">
        <f>"written by Liz Gogerly ; illustrated by Mike Gordon"</f>
        <v>written by Liz Gogerly ; illustrated by Mike Gordon</v>
      </c>
      <c r="G1161" s="3" t="str">
        <f>"Crabtree Publishing Company"</f>
        <v>Crabtree Publishing Company</v>
      </c>
      <c r="H1161" s="2" t="str">
        <f>"2009"</f>
        <v>2009</v>
      </c>
      <c r="I1161" s="3" t="str">
        <f>""</f>
        <v/>
      </c>
    </row>
    <row r="1162" spans="1:9" x14ac:dyDescent="0.3">
      <c r="A1162" s="2">
        <v>1161</v>
      </c>
      <c r="B1162" s="4" t="s">
        <v>26</v>
      </c>
      <c r="C1162" s="3" t="str">
        <f>"TFC000000795"</f>
        <v>TFC000000795</v>
      </c>
      <c r="D1162" s="3" t="str">
        <f>"F800-20-0874-(AR 2.5)"</f>
        <v>F800-20-0874-(AR 2.5)</v>
      </c>
      <c r="E1162" s="3" t="str">
        <f>"(The)best kind of bear"</f>
        <v>(The)best kind of bear</v>
      </c>
      <c r="F1162" s="3" t="str">
        <f>"Greg Gormley ; illustrated by David Barrow"</f>
        <v>Greg Gormley ; illustrated by David Barrow</v>
      </c>
      <c r="G1162" s="3" t="str">
        <f>"Nosy Crow"</f>
        <v>Nosy Crow</v>
      </c>
      <c r="H1162" s="2" t="str">
        <f>"2019"</f>
        <v>2019</v>
      </c>
      <c r="I1162" s="3" t="str">
        <f>""</f>
        <v/>
      </c>
    </row>
    <row r="1163" spans="1:9" x14ac:dyDescent="0.3">
      <c r="A1163" s="2">
        <v>1162</v>
      </c>
      <c r="B1163" s="4" t="s">
        <v>26</v>
      </c>
      <c r="C1163" s="3" t="str">
        <f>"TFC000000798"</f>
        <v>TFC000000798</v>
      </c>
      <c r="D1163" s="3" t="str">
        <f>"F800-20-0877-(AR 2.5)"</f>
        <v>F800-20-0877-(AR 2.5)</v>
      </c>
      <c r="E1163" s="3" t="str">
        <f>"Mother Bruce"</f>
        <v>Mother Bruce</v>
      </c>
      <c r="F1163" s="3" t="str">
        <f>"Ryan T. Higgins"</f>
        <v>Ryan T. Higgins</v>
      </c>
      <c r="G1163" s="3" t="str">
        <f>"Disney·Hyperion"</f>
        <v>Disney·Hyperion</v>
      </c>
      <c r="H1163" s="2" t="str">
        <f>"2015"</f>
        <v>2015</v>
      </c>
      <c r="I1163" s="3" t="str">
        <f>""</f>
        <v/>
      </c>
    </row>
    <row r="1164" spans="1:9" x14ac:dyDescent="0.3">
      <c r="A1164" s="2">
        <v>1163</v>
      </c>
      <c r="B1164" s="4" t="s">
        <v>26</v>
      </c>
      <c r="C1164" s="3" t="str">
        <f>"TFC000000799"</f>
        <v>TFC000000799</v>
      </c>
      <c r="D1164" s="3" t="str">
        <f>"F800-20-0878-(AR 2.5)"</f>
        <v>F800-20-0878-(AR 2.5)</v>
      </c>
      <c r="E1164" s="3" t="str">
        <f>"(The)animal rescue club"</f>
        <v>(The)animal rescue club</v>
      </c>
      <c r="F1164" s="3" t="str">
        <f>"story and pictures by John Himmelman"</f>
        <v>story and pictures by John Himmelman</v>
      </c>
      <c r="G1164" s="3" t="str">
        <f>"HarperCollins Publishers"</f>
        <v>HarperCollins Publishers</v>
      </c>
      <c r="H1164" s="2" t="str">
        <f>"1998"</f>
        <v>1998</v>
      </c>
      <c r="I1164" s="3" t="str">
        <f>""</f>
        <v/>
      </c>
    </row>
    <row r="1165" spans="1:9" x14ac:dyDescent="0.3">
      <c r="A1165" s="2">
        <v>1164</v>
      </c>
      <c r="B1165" s="4" t="s">
        <v>26</v>
      </c>
      <c r="C1165" s="3" t="str">
        <f>"TFC000000800"</f>
        <v>TFC000000800</v>
      </c>
      <c r="D1165" s="3" t="str">
        <f>"F800-20-0879-(AR 2.5)"</f>
        <v>F800-20-0879-(AR 2.5)</v>
      </c>
      <c r="E1165" s="3" t="str">
        <f>"(The)finest in the land"</f>
        <v>(The)finest in the land</v>
      </c>
      <c r="F1165" s="3" t="str">
        <f>"written by Roderick Hunt ; illustrated by Alex Brychta"</f>
        <v>written by Roderick Hunt ; illustrated by Alex Brychta</v>
      </c>
      <c r="G1165" s="3" t="str">
        <f>"Oxford University Press"</f>
        <v>Oxford University Press</v>
      </c>
      <c r="H1165" s="2" t="str">
        <f>"2011"</f>
        <v>2011</v>
      </c>
      <c r="I1165" s="3" t="str">
        <f>""</f>
        <v/>
      </c>
    </row>
    <row r="1166" spans="1:9" x14ac:dyDescent="0.3">
      <c r="A1166" s="2">
        <v>1165</v>
      </c>
      <c r="B1166" s="4" t="s">
        <v>26</v>
      </c>
      <c r="C1166" s="3" t="str">
        <f>"TFC000000801"</f>
        <v>TFC000000801</v>
      </c>
      <c r="D1166" s="3" t="str">
        <f>"F800-20-0880-(AR 2.5)"</f>
        <v>F800-20-0880-(AR 2.5)</v>
      </c>
      <c r="E1166" s="3" t="str">
        <f>"Superdog"</f>
        <v>Superdog</v>
      </c>
      <c r="F1166" s="3" t="str">
        <f>"written by Roderick Hunt ; illustrated by Alex Brychta"</f>
        <v>written by Roderick Hunt ; illustrated by Alex Brychta</v>
      </c>
      <c r="G1166" s="3" t="str">
        <f>"Oxford University Press"</f>
        <v>Oxford University Press</v>
      </c>
      <c r="H1166" s="2" t="str">
        <f>"2011"</f>
        <v>2011</v>
      </c>
      <c r="I1166" s="3" t="str">
        <f>""</f>
        <v/>
      </c>
    </row>
    <row r="1167" spans="1:9" x14ac:dyDescent="0.3">
      <c r="A1167" s="2">
        <v>1166</v>
      </c>
      <c r="B1167" s="4" t="s">
        <v>26</v>
      </c>
      <c r="C1167" s="3" t="str">
        <f>"TFC000000802"</f>
        <v>TFC000000802</v>
      </c>
      <c r="D1167" s="3" t="str">
        <f>"F800-20-0881-(AR 2.5)"</f>
        <v>F800-20-0881-(AR 2.5)</v>
      </c>
      <c r="E1167" s="3" t="str">
        <f>"Viking adventure"</f>
        <v>Viking adventure</v>
      </c>
      <c r="F1167" s="3" t="str">
        <f>"written by Roderick Hunt ; illustrated by Alex Brychta"</f>
        <v>written by Roderick Hunt ; illustrated by Alex Brychta</v>
      </c>
      <c r="G1167" s="3" t="str">
        <f>"Oxford University Press"</f>
        <v>Oxford University Press</v>
      </c>
      <c r="H1167" s="2" t="str">
        <f>"2011"</f>
        <v>2011</v>
      </c>
      <c r="I1167" s="3" t="str">
        <f>""</f>
        <v/>
      </c>
    </row>
    <row r="1168" spans="1:9" x14ac:dyDescent="0.3">
      <c r="A1168" s="2">
        <v>1167</v>
      </c>
      <c r="B1168" s="4" t="s">
        <v>26</v>
      </c>
      <c r="C1168" s="3" t="str">
        <f>"TFC000000803"</f>
        <v>TFC000000803</v>
      </c>
      <c r="D1168" s="3" t="str">
        <f>"F800-20-0882-(AR 2.5)"</f>
        <v>F800-20-0882-(AR 2.5)</v>
      </c>
      <c r="E1168" s="3" t="str">
        <f>"(The)Heart and the bottle"</f>
        <v>(The)Heart and the bottle</v>
      </c>
      <c r="F1168" s="3" t="str">
        <f>"Oliver Jeffers"</f>
        <v>Oliver Jeffers</v>
      </c>
      <c r="G1168" s="3" t="str">
        <f>"Philomel Books"</f>
        <v>Philomel Books</v>
      </c>
      <c r="H1168" s="2" t="str">
        <f>"2010"</f>
        <v>2010</v>
      </c>
      <c r="I1168" s="3" t="str">
        <f>""</f>
        <v/>
      </c>
    </row>
    <row r="1169" spans="1:9" x14ac:dyDescent="0.3">
      <c r="A1169" s="2">
        <v>1168</v>
      </c>
      <c r="B1169" s="4" t="s">
        <v>26</v>
      </c>
      <c r="C1169" s="3" t="str">
        <f>"TFC000000804"</f>
        <v>TFC000000804</v>
      </c>
      <c r="D1169" s="3" t="str">
        <f>"F800-20-0883-(AR 2.5)"</f>
        <v>F800-20-0883-(AR 2.5)</v>
      </c>
      <c r="E1169" s="3" t="str">
        <f>"Bones"</f>
        <v>Bones</v>
      </c>
      <c r="F1169" s="3" t="str">
        <f>"by Stephen Krensky ; llustrated by Davy Jones"</f>
        <v>by Stephen Krensky ; llustrated by Davy Jones</v>
      </c>
      <c r="G1169" s="3" t="str">
        <f>"Random House"</f>
        <v>Random House</v>
      </c>
      <c r="H1169" s="2" t="str">
        <f>"2004"</f>
        <v>2004</v>
      </c>
      <c r="I1169" s="3" t="str">
        <f>""</f>
        <v/>
      </c>
    </row>
    <row r="1170" spans="1:9" x14ac:dyDescent="0.3">
      <c r="A1170" s="2">
        <v>1169</v>
      </c>
      <c r="B1170" s="4" t="s">
        <v>26</v>
      </c>
      <c r="C1170" s="3" t="str">
        <f>"TFC000000805"</f>
        <v>TFC000000805</v>
      </c>
      <c r="D1170" s="3" t="str">
        <f>"F800-20-0884-(AR 2.5)"</f>
        <v>F800-20-0884-(AR 2.5)</v>
      </c>
      <c r="E1170" s="3" t="str">
        <f>"Lunch lady and the field trip fiasco"</f>
        <v>Lunch lady and the field trip fiasco</v>
      </c>
      <c r="F1170" s="3" t="str">
        <f>"by Jarrett Krosoczka"</f>
        <v>by Jarrett Krosoczka</v>
      </c>
      <c r="G1170" s="3" t="str">
        <f>"Alfred A. Knopf"</f>
        <v>Alfred A. Knopf</v>
      </c>
      <c r="H1170" s="2" t="str">
        <f>"2011"</f>
        <v>2011</v>
      </c>
      <c r="I1170" s="3" t="str">
        <f>""</f>
        <v/>
      </c>
    </row>
    <row r="1171" spans="1:9" x14ac:dyDescent="0.3">
      <c r="A1171" s="2">
        <v>1170</v>
      </c>
      <c r="B1171" s="4" t="s">
        <v>26</v>
      </c>
      <c r="C1171" s="3" t="str">
        <f>"TFC000000806"</f>
        <v>TFC000000806</v>
      </c>
      <c r="D1171" s="3" t="str">
        <f>"F800-20-0885-(AR 2.5)"</f>
        <v>F800-20-0885-(AR 2.5)</v>
      </c>
      <c r="E1171" s="3" t="str">
        <f>"Lunch lady and the picture day peril"</f>
        <v>Lunch lady and the picture day peril</v>
      </c>
      <c r="F1171" s="3" t="str">
        <f>"by Jarrett Krosoczka"</f>
        <v>by Jarrett Krosoczka</v>
      </c>
      <c r="G1171" s="3" t="str">
        <f>"Alfred A. Knopf"</f>
        <v>Alfred A. Knopf</v>
      </c>
      <c r="H1171" s="2" t="str">
        <f>"2012"</f>
        <v>2012</v>
      </c>
      <c r="I1171" s="3" t="str">
        <f>""</f>
        <v/>
      </c>
    </row>
    <row r="1172" spans="1:9" x14ac:dyDescent="0.3">
      <c r="A1172" s="2">
        <v>1171</v>
      </c>
      <c r="B1172" s="4" t="s">
        <v>26</v>
      </c>
      <c r="C1172" s="3" t="str">
        <f>"TFC000000807"</f>
        <v>TFC000000807</v>
      </c>
      <c r="D1172" s="3" t="str">
        <f>"F800-20-0886-(AR 2.5)"</f>
        <v>F800-20-0886-(AR 2.5)</v>
      </c>
      <c r="E1172" s="3" t="str">
        <f>"In the tree house"</f>
        <v>In the tree house</v>
      </c>
      <c r="F1172" s="3" t="str">
        <f>"Andrew Larsen ; illustrated by Du?an Petri?i?"</f>
        <v>Andrew Larsen ; illustrated by Du?an Petri?i?</v>
      </c>
      <c r="G1172" s="3" t="str">
        <f>"Kids Can Press"</f>
        <v>Kids Can Press</v>
      </c>
      <c r="H1172" s="2" t="str">
        <f>"2013"</f>
        <v>2013</v>
      </c>
      <c r="I1172" s="3" t="str">
        <f>""</f>
        <v/>
      </c>
    </row>
    <row r="1173" spans="1:9" x14ac:dyDescent="0.3">
      <c r="A1173" s="2">
        <v>1172</v>
      </c>
      <c r="B1173" s="4" t="s">
        <v>26</v>
      </c>
      <c r="C1173" s="3" t="str">
        <f>"TFC000000812"</f>
        <v>TFC000000812</v>
      </c>
      <c r="D1173" s="3" t="str">
        <f>"F800-20-0891-(AR 2.5)"</f>
        <v>F800-20-0891-(AR 2.5)</v>
      </c>
      <c r="E1173" s="3" t="str">
        <f>"Panda bear, panda bear, what do you see?"</f>
        <v>Panda bear, panda bear, what do you see?</v>
      </c>
      <c r="F1173" s="3" t="str">
        <f>"by Bill Martin ; pictures by Eric Carle"</f>
        <v>by Bill Martin ; pictures by Eric Carle</v>
      </c>
      <c r="G1173" s="3" t="str">
        <f>"Henry Holt and Company"</f>
        <v>Henry Holt and Company</v>
      </c>
      <c r="H1173" s="2" t="str">
        <f>"2004"</f>
        <v>2004</v>
      </c>
      <c r="I1173" s="3" t="str">
        <f>""</f>
        <v/>
      </c>
    </row>
    <row r="1174" spans="1:9" x14ac:dyDescent="0.3">
      <c r="A1174" s="2">
        <v>1173</v>
      </c>
      <c r="B1174" s="4" t="s">
        <v>26</v>
      </c>
      <c r="C1174" s="3" t="str">
        <f>"TFC000000813"</f>
        <v>TFC000000813</v>
      </c>
      <c r="D1174" s="3" t="str">
        <f>"F800-20-0892-(AR 2.5)"</f>
        <v>F800-20-0892-(AR 2.5)</v>
      </c>
      <c r="E1174" s="3" t="str">
        <f>"Grandma, grandpa, and me"</f>
        <v>Grandma, grandpa, and me</v>
      </c>
      <c r="F1174" s="3" t="str">
        <f>"by Mercer Mayer"</f>
        <v>by Mercer Mayer</v>
      </c>
      <c r="G1174" s="3" t="str">
        <f>"HarperFestival"</f>
        <v>HarperFestival</v>
      </c>
      <c r="H1174" s="2" t="str">
        <f>"2007"</f>
        <v>2007</v>
      </c>
      <c r="I1174" s="3" t="str">
        <f>""</f>
        <v/>
      </c>
    </row>
    <row r="1175" spans="1:9" x14ac:dyDescent="0.3">
      <c r="A1175" s="2">
        <v>1174</v>
      </c>
      <c r="B1175" s="4" t="s">
        <v>26</v>
      </c>
      <c r="C1175" s="3" t="str">
        <f>"TFC000000814"</f>
        <v>TFC000000814</v>
      </c>
      <c r="D1175" s="3" t="str">
        <f>"F800-20-0893-(AR 2.5)"</f>
        <v>F800-20-0893-(AR 2.5)</v>
      </c>
      <c r="E1175" s="3" t="str">
        <f>"Jessica Finch in pig trouble"</f>
        <v>Jessica Finch in pig trouble</v>
      </c>
      <c r="F1175" s="3" t="str">
        <f>"Megan McDonald ; illustrated by Erwin Madrid ; based on the characters created by Peter H. Reynolds"</f>
        <v>Megan McDonald ; illustrated by Erwin Madrid ; based on the characters created by Peter H. Reynolds</v>
      </c>
      <c r="G1175" s="3" t="str">
        <f>"Candlewick Press"</f>
        <v>Candlewick Press</v>
      </c>
      <c r="H1175" s="2" t="str">
        <f>"2014"</f>
        <v>2014</v>
      </c>
      <c r="I1175" s="3" t="str">
        <f>""</f>
        <v/>
      </c>
    </row>
    <row r="1176" spans="1:9" x14ac:dyDescent="0.3">
      <c r="A1176" s="2">
        <v>1175</v>
      </c>
      <c r="B1176" s="4" t="s">
        <v>26</v>
      </c>
      <c r="C1176" s="3" t="str">
        <f>"TFC000000815"</f>
        <v>TFC000000815</v>
      </c>
      <c r="D1176" s="3" t="str">
        <f>"F800-20-0894-(AR 2.5)"</f>
        <v>F800-20-0894-(AR 2.5)</v>
      </c>
      <c r="E1176" s="3" t="str">
        <f>"Bunny's easter egg"</f>
        <v>Bunny's easter egg</v>
      </c>
      <c r="F1176" s="3" t="str">
        <f>"written and illustrated by Anne Mortimer"</f>
        <v>written and illustrated by Anne Mortimer</v>
      </c>
      <c r="G1176" s="3" t="str">
        <f>"Katherine Tegen Books"</f>
        <v>Katherine Tegen Books</v>
      </c>
      <c r="H1176" s="2" t="str">
        <f>"2010"</f>
        <v>2010</v>
      </c>
      <c r="I1176" s="3" t="str">
        <f>""</f>
        <v/>
      </c>
    </row>
    <row r="1177" spans="1:9" x14ac:dyDescent="0.3">
      <c r="A1177" s="2">
        <v>1176</v>
      </c>
      <c r="B1177" s="4" t="s">
        <v>26</v>
      </c>
      <c r="C1177" s="3" t="str">
        <f>"TFC000000816"</f>
        <v>TFC000000816</v>
      </c>
      <c r="D1177" s="3" t="str">
        <f>"F800-20-0895-(AR 2.5)"</f>
        <v>F800-20-0895-(AR 2.5)</v>
      </c>
      <c r="E1177" s="3" t="str">
        <f>"If you give a mouse a brownie"</f>
        <v>If you give a mouse a brownie</v>
      </c>
      <c r="F1177" s="3" t="str">
        <f>"written by Laura Numeroff ; illustrated by Felicia Bond"</f>
        <v>written by Laura Numeroff ; illustrated by Felicia Bond</v>
      </c>
      <c r="G1177" s="3" t="str">
        <f>"Balzer + Bray"</f>
        <v>Balzer + Bray</v>
      </c>
      <c r="H1177" s="2" t="str">
        <f>"2016"</f>
        <v>2016</v>
      </c>
      <c r="I1177" s="3" t="str">
        <f>""</f>
        <v/>
      </c>
    </row>
    <row r="1178" spans="1:9" x14ac:dyDescent="0.3">
      <c r="A1178" s="2">
        <v>1177</v>
      </c>
      <c r="B1178" s="4" t="s">
        <v>26</v>
      </c>
      <c r="C1178" s="3" t="str">
        <f>"TFC000000817"</f>
        <v>TFC000000817</v>
      </c>
      <c r="D1178" s="3" t="str">
        <f>"F800-20-0896-(AR 2.5)"</f>
        <v>F800-20-0896-(AR 2.5)</v>
      </c>
      <c r="E1178" s="3" t="str">
        <f>"If you give a pig a pancake"</f>
        <v>If you give a pig a pancake</v>
      </c>
      <c r="F1178" s="3" t="str">
        <f>"by Laura Numeroff ; illustrated by Felicia Bond"</f>
        <v>by Laura Numeroff ; illustrated by Felicia Bond</v>
      </c>
      <c r="G1178" s="3" t="str">
        <f>"HarperCollins:JYbooks"</f>
        <v>HarperCollins:JYbooks</v>
      </c>
      <c r="H1178" s="2" t="str">
        <f>"1998"</f>
        <v>1998</v>
      </c>
      <c r="I1178" s="3" t="str">
        <f>""</f>
        <v/>
      </c>
    </row>
    <row r="1179" spans="1:9" x14ac:dyDescent="0.3">
      <c r="A1179" s="2">
        <v>1178</v>
      </c>
      <c r="B1179" s="4" t="s">
        <v>26</v>
      </c>
      <c r="C1179" s="3" t="str">
        <f>"TFC000000818"</f>
        <v>TFC000000818</v>
      </c>
      <c r="D1179" s="3" t="str">
        <f>"F800-20-0897-(AR 2.5)"</f>
        <v>F800-20-0897-(AR 2.5)</v>
      </c>
      <c r="E1179" s="3" t="str">
        <f>"What aunts do best ;  ;What uncles do best"</f>
        <v>What aunts do best ;  ;What uncles do best</v>
      </c>
      <c r="F1179" s="3" t="str">
        <f>"by Laura Numeroff ; illustrated by Lynn Munsinger"</f>
        <v>by Laura Numeroff ; illustrated by Lynn Munsinger</v>
      </c>
      <c r="G1179" s="3" t="str">
        <f>"Simon &amp; Schuster Books for Young Readers"</f>
        <v>Simon &amp; Schuster Books for Young Readers</v>
      </c>
      <c r="H1179" s="2" t="str">
        <f>"2004"</f>
        <v>2004</v>
      </c>
      <c r="I1179" s="3" t="str">
        <f>""</f>
        <v/>
      </c>
    </row>
    <row r="1180" spans="1:9" x14ac:dyDescent="0.3">
      <c r="A1180" s="2">
        <v>1179</v>
      </c>
      <c r="B1180" s="4" t="s">
        <v>26</v>
      </c>
      <c r="C1180" s="3" t="str">
        <f>"TFC000000819"</f>
        <v>TFC000000819</v>
      </c>
      <c r="D1180" s="3" t="str">
        <f>"F800-20-0898-(AR 2.5)"</f>
        <v>F800-20-0898-(AR 2.5)</v>
      </c>
      <c r="E1180" s="3" t="str">
        <f>"Madeline Finn and the shelter dog"</f>
        <v>Madeline Finn and the shelter dog</v>
      </c>
      <c r="F1180" s="3" t="str">
        <f>"Lisa Papp"</f>
        <v>Lisa Papp</v>
      </c>
      <c r="G1180" s="3" t="str">
        <f>"Peachtree Publishing Company"</f>
        <v>Peachtree Publishing Company</v>
      </c>
      <c r="H1180" s="2" t="str">
        <f>"2019"</f>
        <v>2019</v>
      </c>
      <c r="I1180" s="3" t="str">
        <f>""</f>
        <v/>
      </c>
    </row>
    <row r="1181" spans="1:9" x14ac:dyDescent="0.3">
      <c r="A1181" s="2">
        <v>1180</v>
      </c>
      <c r="B1181" s="4" t="s">
        <v>26</v>
      </c>
      <c r="C1181" s="3" t="str">
        <f>"TFC000000820"</f>
        <v>TFC000000820</v>
      </c>
      <c r="D1181" s="3" t="str">
        <f>"F800-20-0899-(AR 2.5)"</f>
        <v>F800-20-0899-(AR 2.5)</v>
      </c>
      <c r="E1181" s="3" t="str">
        <f>"(The)adventures of Ook and Gluk kung-fu cavemen from the future"</f>
        <v>(The)adventures of Ook and Gluk kung-fu cavemen from the future</v>
      </c>
      <c r="F1181" s="3" t="str">
        <f>"by Dav Pilkey"</f>
        <v>by Dav Pilkey</v>
      </c>
      <c r="G1181" s="3" t="str">
        <f>"Scholastic"</f>
        <v>Scholastic</v>
      </c>
      <c r="H1181" s="2" t="str">
        <f>"2010"</f>
        <v>2010</v>
      </c>
      <c r="I1181" s="3" t="str">
        <f>""</f>
        <v/>
      </c>
    </row>
    <row r="1182" spans="1:9" x14ac:dyDescent="0.3">
      <c r="A1182" s="2">
        <v>1181</v>
      </c>
      <c r="B1182" s="4" t="s">
        <v>26</v>
      </c>
      <c r="C1182" s="3" t="str">
        <f>"TFC000000823"</f>
        <v>TFC000000823</v>
      </c>
      <c r="D1182" s="3" t="str">
        <f>"F800-20-0902-(AR 2.5)"</f>
        <v>F800-20-0902-(AR 2.5)</v>
      </c>
      <c r="E1182" s="3" t="str">
        <f>"Henry Babysits"</f>
        <v>Henry Babysits</v>
      </c>
      <c r="F1182" s="3" t="str">
        <f>"Robert Quackenbush"</f>
        <v>Robert Quackenbush</v>
      </c>
      <c r="G1182" s="3" t="str">
        <f>"Aladdin"</f>
        <v>Aladdin</v>
      </c>
      <c r="H1182" s="2" t="str">
        <f>"2020"</f>
        <v>2020</v>
      </c>
      <c r="I1182" s="3" t="str">
        <f>""</f>
        <v/>
      </c>
    </row>
    <row r="1183" spans="1:9" x14ac:dyDescent="0.3">
      <c r="A1183" s="2">
        <v>1182</v>
      </c>
      <c r="B1183" s="4" t="s">
        <v>26</v>
      </c>
      <c r="C1183" s="3" t="str">
        <f>"TFC000000824"</f>
        <v>TFC000000824</v>
      </c>
      <c r="D1183" s="3" t="str">
        <f>"F800-20-0903-(AR 2.5)"</f>
        <v>F800-20-0903-(AR 2.5)</v>
      </c>
      <c r="E1183" s="3" t="str">
        <f>"George Washington and the general's dog"</f>
        <v>George Washington and the general's dog</v>
      </c>
      <c r="F1183" s="3" t="str">
        <f>"by Frank Murphy ; illustrated by Richard Walz"</f>
        <v>by Frank Murphy ; illustrated by Richard Walz</v>
      </c>
      <c r="G1183" s="3" t="str">
        <f>"Random House"</f>
        <v>Random House</v>
      </c>
      <c r="H1183" s="2" t="str">
        <f>"2002"</f>
        <v>2002</v>
      </c>
      <c r="I1183" s="3" t="str">
        <f>""</f>
        <v/>
      </c>
    </row>
    <row r="1184" spans="1:9" x14ac:dyDescent="0.3">
      <c r="A1184" s="2">
        <v>1183</v>
      </c>
      <c r="B1184" s="4" t="s">
        <v>26</v>
      </c>
      <c r="C1184" s="3" t="str">
        <f>"TFC000000825"</f>
        <v>TFC000000825</v>
      </c>
      <c r="D1184" s="3" t="str">
        <f>"F800-20-0904-(AR 2.5)"</f>
        <v>F800-20-0904-(AR 2.5)</v>
      </c>
      <c r="E1184" s="3" t="str">
        <f>"First day"</f>
        <v>First day</v>
      </c>
      <c r="F1184" s="3" t="str">
        <f>"Joan Rankin"</f>
        <v>Joan Rankin</v>
      </c>
      <c r="G1184" s="3" t="str">
        <f>"Margaret K. McElderry Books"</f>
        <v>Margaret K. McElderry Books</v>
      </c>
      <c r="H1184" s="2" t="str">
        <f>"2002"</f>
        <v>2002</v>
      </c>
      <c r="I1184" s="3" t="str">
        <f>""</f>
        <v/>
      </c>
    </row>
    <row r="1185" spans="1:9" x14ac:dyDescent="0.3">
      <c r="A1185" s="2">
        <v>1184</v>
      </c>
      <c r="B1185" s="4" t="s">
        <v>26</v>
      </c>
      <c r="C1185" s="3" t="str">
        <f>"TFC000000826"</f>
        <v>TFC000000826</v>
      </c>
      <c r="D1185" s="3" t="str">
        <f>"F800-20-0905-(AR 2.5)"</f>
        <v>F800-20-0905-(AR 2.5)</v>
      </c>
      <c r="E1185" s="3" t="str">
        <f>"(The)day the babies crawled away"</f>
        <v>(The)day the babies crawled away</v>
      </c>
      <c r="F1185" s="3" t="str">
        <f>"Peggy Rathmann"</f>
        <v>Peggy Rathmann</v>
      </c>
      <c r="G1185" s="3" t="str">
        <f>"G. P. Putnam's Sons"</f>
        <v>G. P. Putnam's Sons</v>
      </c>
      <c r="H1185" s="2" t="str">
        <f>"2003"</f>
        <v>2003</v>
      </c>
      <c r="I1185" s="3" t="str">
        <f>""</f>
        <v/>
      </c>
    </row>
    <row r="1186" spans="1:9" x14ac:dyDescent="0.3">
      <c r="A1186" s="2">
        <v>1185</v>
      </c>
      <c r="B1186" s="4" t="s">
        <v>26</v>
      </c>
      <c r="C1186" s="3" t="str">
        <f>"TFC000000835"</f>
        <v>TFC000000835</v>
      </c>
      <c r="D1186" s="3" t="str">
        <f>"F800-20-0914-(AR 2.5)"</f>
        <v>F800-20-0914-(AR 2.5)</v>
      </c>
      <c r="E1186" s="3" t="str">
        <f>"Alice the fairy"</f>
        <v>Alice the fairy</v>
      </c>
      <c r="F1186" s="3" t="str">
        <f>"David Shannon"</f>
        <v>David Shannon</v>
      </c>
      <c r="G1186" s="3" t="str">
        <f>"Blue Sky Press"</f>
        <v>Blue Sky Press</v>
      </c>
      <c r="H1186" s="2" t="str">
        <f>"2004"</f>
        <v>2004</v>
      </c>
      <c r="I1186" s="3" t="str">
        <f>""</f>
        <v/>
      </c>
    </row>
    <row r="1187" spans="1:9" x14ac:dyDescent="0.3">
      <c r="A1187" s="2">
        <v>1186</v>
      </c>
      <c r="B1187" s="4" t="s">
        <v>26</v>
      </c>
      <c r="C1187" s="3" t="str">
        <f>"TFC000000836"</f>
        <v>TFC000000836</v>
      </c>
      <c r="D1187" s="3" t="str">
        <f>"F800-20-0915-(AR 2.5)"</f>
        <v>F800-20-0915-(AR 2.5)</v>
      </c>
      <c r="E1187" s="3" t="str">
        <f>"Seriously, Cinderella is so annoying! : the story of Cinderella as told by the wicked stepmother"</f>
        <v>Seriously, Cinderella is so annoying! : the story of Cinderella as told by the wicked stepmother</v>
      </c>
      <c r="F1187" s="3" t="str">
        <f>"by Trisha Speed Shaskan ; illustrated by Gerald Guerlais"</f>
        <v>by Trisha Speed Shaskan ; illustrated by Gerald Guerlais</v>
      </c>
      <c r="G1187" s="3" t="str">
        <f>"Picture Window Books"</f>
        <v>Picture Window Books</v>
      </c>
      <c r="H1187" s="2" t="str">
        <f>"2012"</f>
        <v>2012</v>
      </c>
      <c r="I1187" s="3" t="str">
        <f>""</f>
        <v/>
      </c>
    </row>
    <row r="1188" spans="1:9" x14ac:dyDescent="0.3">
      <c r="A1188" s="2">
        <v>1187</v>
      </c>
      <c r="B1188" s="4" t="s">
        <v>26</v>
      </c>
      <c r="C1188" s="3" t="str">
        <f>"TFC000000837"</f>
        <v>TFC000000837</v>
      </c>
      <c r="D1188" s="3" t="str">
        <f>"F800-20-0916-(AR 2.5)"</f>
        <v>F800-20-0916-(AR 2.5)</v>
      </c>
      <c r="E1188" s="3" t="str">
        <f>"(The)donkey egg"</f>
        <v>(The)donkey egg</v>
      </c>
      <c r="F1188" s="3" t="str">
        <f>"by Janet Stevens, Susan Stevens Crummel"</f>
        <v>by Janet Stevens, Susan Stevens Crummel</v>
      </c>
      <c r="G1188" s="3" t="str">
        <f>"Houghton Mifflin Harcourt"</f>
        <v>Houghton Mifflin Harcourt</v>
      </c>
      <c r="H1188" s="2" t="str">
        <f>"2019"</f>
        <v>2019</v>
      </c>
      <c r="I1188" s="3" t="str">
        <f>""</f>
        <v/>
      </c>
    </row>
    <row r="1189" spans="1:9" x14ac:dyDescent="0.3">
      <c r="A1189" s="2">
        <v>1188</v>
      </c>
      <c r="B1189" s="4" t="s">
        <v>26</v>
      </c>
      <c r="C1189" s="3" t="str">
        <f>"TFC000000838"</f>
        <v>TFC000000838</v>
      </c>
      <c r="D1189" s="3" t="str">
        <f>"F800-20-0917-(AR 2.5)"</f>
        <v>F800-20-0917-(AR 2.5)</v>
      </c>
      <c r="E1189" s="3" t="str">
        <f>"From tree to sea"</f>
        <v>From tree to sea</v>
      </c>
      <c r="F1189" s="3" t="str">
        <f>"words by Shelley Moore Thomas ; art by Christopher Silas Neal"</f>
        <v>words by Shelley Moore Thomas ; art by Christopher Silas Neal</v>
      </c>
      <c r="G1189" s="3" t="str">
        <f>"Simon &amp; Schuster Books for Young Readers"</f>
        <v>Simon &amp; Schuster Books for Young Readers</v>
      </c>
      <c r="H1189" s="2" t="str">
        <f>"2019"</f>
        <v>2019</v>
      </c>
      <c r="I1189" s="3" t="str">
        <f>""</f>
        <v/>
      </c>
    </row>
    <row r="1190" spans="1:9" x14ac:dyDescent="0.3">
      <c r="A1190" s="2">
        <v>1189</v>
      </c>
      <c r="B1190" s="4" t="s">
        <v>26</v>
      </c>
      <c r="C1190" s="3" t="str">
        <f>"TFC000000839"</f>
        <v>TFC000000839</v>
      </c>
      <c r="D1190" s="3" t="str">
        <f>"F800-20-0918-(AR 2.5)"</f>
        <v>F800-20-0918-(AR 2.5)</v>
      </c>
      <c r="E1190" s="3" t="str">
        <f>"Is your buffalo ready for kindergarten?"</f>
        <v>Is your buffalo ready for kindergarten?</v>
      </c>
      <c r="F1190" s="3" t="str">
        <f>"by Audrey Vernick ; illustrated by Daniel Jennewein"</f>
        <v>by Audrey Vernick ; illustrated by Daniel Jennewein</v>
      </c>
      <c r="G1190" s="3" t="str">
        <f>"Balzer + Bray"</f>
        <v>Balzer + Bray</v>
      </c>
      <c r="H1190" s="2" t="str">
        <f>"2010"</f>
        <v>2010</v>
      </c>
      <c r="I1190" s="3" t="str">
        <f>""</f>
        <v/>
      </c>
    </row>
    <row r="1191" spans="1:9" x14ac:dyDescent="0.3">
      <c r="A1191" s="2">
        <v>1190</v>
      </c>
      <c r="B1191" s="4" t="s">
        <v>26</v>
      </c>
      <c r="C1191" s="3" t="str">
        <f>"TFC000000840"</f>
        <v>TFC000000840</v>
      </c>
      <c r="D1191" s="3" t="str">
        <f>"F800-20-0919-(AR 2.5)"</f>
        <v>F800-20-0919-(AR 2.5)</v>
      </c>
      <c r="E1191" s="3" t="str">
        <f>"How to catch a dinosaur"</f>
        <v>How to catch a dinosaur</v>
      </c>
      <c r="F1191" s="3" t="str">
        <f>"written by Adam Wallace ; illustrated by Andy Elkerton"</f>
        <v>written by Adam Wallace ; illustrated by Andy Elkerton</v>
      </c>
      <c r="G1191" s="3" t="str">
        <f>"Sourcebooks Wonderland"</f>
        <v>Sourcebooks Wonderland</v>
      </c>
      <c r="H1191" s="2" t="str">
        <f>"2019"</f>
        <v>2019</v>
      </c>
      <c r="I1191" s="3" t="str">
        <f>""</f>
        <v/>
      </c>
    </row>
    <row r="1192" spans="1:9" x14ac:dyDescent="0.3">
      <c r="A1192" s="2">
        <v>1191</v>
      </c>
      <c r="B1192" s="4" t="s">
        <v>26</v>
      </c>
      <c r="C1192" s="3" t="str">
        <f>"TFC000000841"</f>
        <v>TFC000000841</v>
      </c>
      <c r="D1192" s="3" t="str">
        <f>"F800-20-0920-(AR 2.5)"</f>
        <v>F800-20-0920-(AR 2.5)</v>
      </c>
      <c r="E1192" s="3" t="str">
        <f>"Who is the mystery reader?"</f>
        <v>Who is the mystery reader?</v>
      </c>
      <c r="F1192" s="3" t="str">
        <f>"by Mo Willems"</f>
        <v>by Mo Willems</v>
      </c>
      <c r="G1192" s="3" t="str">
        <f>"Hyperion Books for Children"</f>
        <v>Hyperion Books for Children</v>
      </c>
      <c r="H1192" s="2" t="str">
        <f>"2019"</f>
        <v>2019</v>
      </c>
      <c r="I1192" s="3" t="str">
        <f>""</f>
        <v/>
      </c>
    </row>
    <row r="1193" spans="1:9" x14ac:dyDescent="0.3">
      <c r="A1193" s="2">
        <v>1192</v>
      </c>
      <c r="B1193" s="4" t="s">
        <v>26</v>
      </c>
      <c r="C1193" s="3" t="str">
        <f>"TFC000000842"</f>
        <v>TFC000000842</v>
      </c>
      <c r="D1193" s="3" t="str">
        <f>"F800-20-0921-(AR 2.5)"</f>
        <v>F800-20-0921-(AR 2.5)</v>
      </c>
      <c r="E1193" s="3" t="str">
        <f>"Flappy ad scrappy"</f>
        <v>Flappy ad scrappy</v>
      </c>
      <c r="F1193" s="3" t="str">
        <f>"story by Arthur Yorinks ; pictures by Aleksey, Olga Ivanov"</f>
        <v>story by Arthur Yorinks ; pictures by Aleksey, Olga Ivanov</v>
      </c>
      <c r="G1193" s="3" t="str">
        <f>"HarperCollins Publishers"</f>
        <v>HarperCollins Publishers</v>
      </c>
      <c r="H1193" s="2" t="str">
        <f>"2011"</f>
        <v>2011</v>
      </c>
      <c r="I1193" s="3" t="str">
        <f>""</f>
        <v/>
      </c>
    </row>
    <row r="1194" spans="1:9" x14ac:dyDescent="0.3">
      <c r="A1194" s="2">
        <v>1193</v>
      </c>
      <c r="B1194" s="4" t="s">
        <v>26</v>
      </c>
      <c r="C1194" s="3" t="str">
        <f>"TFC000003974"</f>
        <v>TFC000003974</v>
      </c>
      <c r="D1194" s="3" t="str">
        <f>"F400-21-0260-(AR 2.5)"</f>
        <v>F400-21-0260-(AR 2.5)</v>
      </c>
      <c r="E1194" s="3" t="str">
        <f>"All about baby orangutans"</f>
        <v>All about baby orangutans</v>
      </c>
      <c r="F1194" s="3" t="str">
        <f>"by Martha E.H. Rustad"</f>
        <v>by Martha E.H. Rustad</v>
      </c>
      <c r="G1194" s="3" t="str">
        <f>"Pebble"</f>
        <v>Pebble</v>
      </c>
      <c r="H1194" s="2" t="str">
        <f>"2022"</f>
        <v>2022</v>
      </c>
      <c r="I1194" s="3" t="str">
        <f>""</f>
        <v/>
      </c>
    </row>
    <row r="1195" spans="1:9" x14ac:dyDescent="0.3">
      <c r="A1195" s="2">
        <v>1194</v>
      </c>
      <c r="B1195" s="4" t="s">
        <v>26</v>
      </c>
      <c r="C1195" s="3" t="str">
        <f>"TFC000003168"</f>
        <v>TFC000003168</v>
      </c>
      <c r="D1195" s="3" t="str">
        <f>"F800-20-0927-(AR 2.5)"</f>
        <v>F800-20-0927-(AR 2.5)</v>
      </c>
      <c r="E1195" s="3" t="str">
        <f>"La ovejita que vino a cenar"</f>
        <v>La ovejita que vino a cenar</v>
      </c>
      <c r="F1195" s="3" t="str">
        <f>"Steve Smallman ; de las ilustraciones Joelle Dreidemy"</f>
        <v>Steve Smallman ; de las ilustraciones Joelle Dreidemy</v>
      </c>
      <c r="G1195" s="3" t="str">
        <f>"Beascoa"</f>
        <v>Beascoa</v>
      </c>
      <c r="H1195" s="2" t="str">
        <f>"2015"</f>
        <v>2015</v>
      </c>
      <c r="I1195" s="3" t="str">
        <f>""</f>
        <v/>
      </c>
    </row>
    <row r="1196" spans="1:9" x14ac:dyDescent="0.3">
      <c r="A1196" s="2">
        <v>1195</v>
      </c>
      <c r="B1196" s="4" t="s">
        <v>26</v>
      </c>
      <c r="C1196" s="3" t="str">
        <f>"TFC000002943"</f>
        <v>TFC000002943</v>
      </c>
      <c r="D1196" s="3" t="str">
        <f>"F800-20-0923-(AR 2.5)"</f>
        <v>F800-20-0923-(AR 2.5)</v>
      </c>
      <c r="E1196" s="3" t="str">
        <f>"Curious George and the dinosaur"</f>
        <v>Curious George and the dinosaur</v>
      </c>
      <c r="F1196" s="3" t="str">
        <f>"Margret Rey, H.A. Rey"</f>
        <v>Margret Rey, H.A. Rey</v>
      </c>
      <c r="G1196" s="3" t="str">
        <f>"Walker Books"</f>
        <v>Walker Books</v>
      </c>
      <c r="H1196" s="2" t="str">
        <f>"2008"</f>
        <v>2008</v>
      </c>
      <c r="I1196" s="3" t="str">
        <f>""</f>
        <v/>
      </c>
    </row>
    <row r="1197" spans="1:9" x14ac:dyDescent="0.3">
      <c r="A1197" s="2">
        <v>1196</v>
      </c>
      <c r="B1197" s="4" t="s">
        <v>26</v>
      </c>
      <c r="C1197" s="3" t="str">
        <f>"TFC000002837"</f>
        <v>TFC000002837</v>
      </c>
      <c r="D1197" s="3" t="str">
        <f>"F400-20-0825-(AR 2.5)"</f>
        <v>F400-20-0825-(AR 2.5)</v>
      </c>
      <c r="E1197" s="3" t="str">
        <f>"Mercury"</f>
        <v>Mercury</v>
      </c>
      <c r="F1197" s="3" t="str">
        <f>"by Christine Taylor-Butler"</f>
        <v>by Christine Taylor-Butler</v>
      </c>
      <c r="G1197" s="3" t="str">
        <f>"Scholastic"</f>
        <v>Scholastic</v>
      </c>
      <c r="H1197" s="2" t="str">
        <f>"2006"</f>
        <v>2006</v>
      </c>
      <c r="I1197" s="3" t="str">
        <f>""</f>
        <v/>
      </c>
    </row>
    <row r="1198" spans="1:9" x14ac:dyDescent="0.3">
      <c r="A1198" s="2">
        <v>1197</v>
      </c>
      <c r="B1198" s="4" t="s">
        <v>26</v>
      </c>
      <c r="C1198" s="3" t="str">
        <f>"TFC000002838"</f>
        <v>TFC000002838</v>
      </c>
      <c r="D1198" s="3" t="str">
        <f>"F300-20-0822-(AR 2.5)"</f>
        <v>F300-20-0822-(AR 2.5)</v>
      </c>
      <c r="E1198" s="3" t="str">
        <f>"Shadows"</f>
        <v>Shadows</v>
      </c>
      <c r="F1198" s="3" t="str">
        <f>"Carolyn B. Otto"</f>
        <v>Carolyn B. Otto</v>
      </c>
      <c r="G1198" s="3" t="str">
        <f>"Scholastic"</f>
        <v>Scholastic</v>
      </c>
      <c r="H1198" s="2" t="str">
        <f>"2001"</f>
        <v>2001</v>
      </c>
      <c r="I1198" s="3" t="str">
        <f>""</f>
        <v/>
      </c>
    </row>
    <row r="1199" spans="1:9" x14ac:dyDescent="0.3">
      <c r="A1199" s="2">
        <v>1198</v>
      </c>
      <c r="B1199" s="4" t="s">
        <v>26</v>
      </c>
      <c r="C1199" s="3" t="str">
        <f>"TFC000002942"</f>
        <v>TFC000002942</v>
      </c>
      <c r="D1199" s="3" t="str">
        <f>"F800-20-0922-(AR 2.5)"</f>
        <v>F800-20-0922-(AR 2.5)</v>
      </c>
      <c r="E1199" s="3" t="str">
        <f>"(The)web files"</f>
        <v>(The)web files</v>
      </c>
      <c r="F1199" s="3" t="str">
        <f>"by Margie Palatini ; illustrated by Richard Egielski"</f>
        <v>by Margie Palatini ; illustrated by Richard Egielski</v>
      </c>
      <c r="G1199" s="3" t="str">
        <f>"Scholastic"</f>
        <v>Scholastic</v>
      </c>
      <c r="H1199" s="2" t="str">
        <f>"2002"</f>
        <v>2002</v>
      </c>
      <c r="I1199" s="3" t="str">
        <f>""</f>
        <v/>
      </c>
    </row>
    <row r="1200" spans="1:9" x14ac:dyDescent="0.3">
      <c r="A1200" s="2">
        <v>1199</v>
      </c>
      <c r="B1200" s="4" t="s">
        <v>26</v>
      </c>
      <c r="C1200" s="3" t="str">
        <f>"TFC000002944"</f>
        <v>TFC000002944</v>
      </c>
      <c r="D1200" s="3" t="str">
        <f>"F900-20-0928-(AR 2.5)"</f>
        <v>F900-20-0928-(AR 2.5)</v>
      </c>
      <c r="E1200" s="3" t="str">
        <f>"Let's read about... George Washington"</f>
        <v>Let's read about... George Washington</v>
      </c>
      <c r="F1200" s="3" t="str">
        <f>"by Kimberly Weinberger ; illustrated by Bob Doucet"</f>
        <v>by Kimberly Weinberger ; illustrated by Bob Doucet</v>
      </c>
      <c r="G1200" s="3" t="str">
        <f>"Scholastic"</f>
        <v>Scholastic</v>
      </c>
      <c r="H1200" s="2" t="str">
        <f>"2002"</f>
        <v>2002</v>
      </c>
      <c r="I1200" s="3" t="str">
        <f>""</f>
        <v/>
      </c>
    </row>
    <row r="1201" spans="1:9" x14ac:dyDescent="0.3">
      <c r="A1201" s="2">
        <v>1200</v>
      </c>
      <c r="B1201" s="4" t="s">
        <v>26</v>
      </c>
      <c r="C1201" s="3" t="str">
        <f>"TFC000002993"</f>
        <v>TFC000002993</v>
      </c>
      <c r="D1201" s="3" t="str">
        <f>"F800-20-0924-(AR 2.5)"</f>
        <v>F800-20-0924-(AR 2.5)</v>
      </c>
      <c r="E1201" s="3" t="str">
        <f>"Scare ball"</f>
        <v>Scare ball</v>
      </c>
      <c r="F1201" s="3" t="str">
        <f>"by Benjamin Bird ; illustrated by Patrycja Fabicka"</f>
        <v>by Benjamin Bird ; illustrated by Patrycja Fabicka</v>
      </c>
      <c r="G1201" s="3" t="str">
        <f>"Picture Window Books"</f>
        <v>Picture Window Books</v>
      </c>
      <c r="H1201" s="2" t="str">
        <f>"2020"</f>
        <v>2020</v>
      </c>
      <c r="I1201" s="3" t="str">
        <f>""</f>
        <v/>
      </c>
    </row>
    <row r="1202" spans="1:9" x14ac:dyDescent="0.3">
      <c r="A1202" s="2">
        <v>1201</v>
      </c>
      <c r="B1202" s="4" t="s">
        <v>26</v>
      </c>
      <c r="C1202" s="3" t="str">
        <f>"TFC000002998"</f>
        <v>TFC000002998</v>
      </c>
      <c r="D1202" s="3" t="str">
        <f>"F800-20-0925-(AR 2.5)"</f>
        <v>F800-20-0925-(AR 2.5)</v>
      </c>
      <c r="E1202" s="3" t="str">
        <f>"Night of the digging dog"</f>
        <v>Night of the digging dog</v>
      </c>
      <c r="F1202" s="3" t="str">
        <f>"by John Sazaklis ; illustrated by Giada Gatti"</f>
        <v>by John Sazaklis ; illustrated by Giada Gatti</v>
      </c>
      <c r="G1202" s="3" t="str">
        <f>"Picture Window Books"</f>
        <v>Picture Window Books</v>
      </c>
      <c r="H1202" s="2" t="str">
        <f>"2020"</f>
        <v>2020</v>
      </c>
      <c r="I1202" s="3" t="str">
        <f>""</f>
        <v/>
      </c>
    </row>
    <row r="1203" spans="1:9" x14ac:dyDescent="0.3">
      <c r="A1203" s="2">
        <v>1202</v>
      </c>
      <c r="B1203" s="4" t="s">
        <v>26</v>
      </c>
      <c r="C1203" s="3" t="str">
        <f>"TFC000003009"</f>
        <v>TFC000003009</v>
      </c>
      <c r="D1203" s="3" t="str">
        <f>"F800-20-0926-(AR 2.5)"</f>
        <v>F800-20-0926-(AR 2.5)</v>
      </c>
      <c r="E1203" s="3" t="str">
        <f>"There are no bears in this bakery"</f>
        <v>There are no bears in this bakery</v>
      </c>
      <c r="F1203" s="3" t="str">
        <f>"Julia Sarcone-Roach"</f>
        <v>Julia Sarcone-Roach</v>
      </c>
      <c r="G1203" s="3" t="str">
        <f>"Alfred A. Knopf"</f>
        <v>Alfred A. Knopf</v>
      </c>
      <c r="H1203" s="2" t="str">
        <f>"2019"</f>
        <v>2019</v>
      </c>
      <c r="I1203" s="3" t="str">
        <f>""</f>
        <v/>
      </c>
    </row>
    <row r="1204" spans="1:9" x14ac:dyDescent="0.3">
      <c r="A1204" s="2">
        <v>1203</v>
      </c>
      <c r="B1204" s="4" t="s">
        <v>26</v>
      </c>
      <c r="C1204" s="3" t="str">
        <f>"TFC000003224"</f>
        <v>TFC000003224</v>
      </c>
      <c r="D1204" s="3" t="str">
        <f>"F800-21-0264-(AR 2.5)"</f>
        <v>F800-21-0264-(AR 2.5)</v>
      </c>
      <c r="E1204" s="3" t="str">
        <f>"Curious George's dream"</f>
        <v>Curious George's dream</v>
      </c>
      <c r="F1204" s="3" t="str">
        <f>"by Margret Rey, H. A. Rey"</f>
        <v>by Margret Rey, H. A. Rey</v>
      </c>
      <c r="G1204" s="3" t="str">
        <f>"Houghton Mifflin"</f>
        <v>Houghton Mifflin</v>
      </c>
      <c r="H1204" s="2" t="str">
        <f>"1998"</f>
        <v>1998</v>
      </c>
      <c r="I1204" s="3" t="str">
        <f>""</f>
        <v/>
      </c>
    </row>
    <row r="1205" spans="1:9" x14ac:dyDescent="0.3">
      <c r="A1205" s="2">
        <v>1204</v>
      </c>
      <c r="B1205" s="4" t="s">
        <v>26</v>
      </c>
      <c r="C1205" s="3" t="str">
        <f>"TFC000003232"</f>
        <v>TFC000003232</v>
      </c>
      <c r="D1205" s="3" t="str">
        <f>"F800-21-0265-(AR 2.5)"</f>
        <v>F800-21-0265-(AR 2.5)</v>
      </c>
      <c r="E1205" s="3" t="str">
        <f>"Curious George and the birthday surprise"</f>
        <v>Curious George and the birthday surprise</v>
      </c>
      <c r="F1205" s="3" t="str">
        <f>"by Margret Rey, H. A. Rey"</f>
        <v>by Margret Rey, H. A. Rey</v>
      </c>
      <c r="G1205" s="3" t="str">
        <f>"Houghton Mifflin"</f>
        <v>Houghton Mifflin</v>
      </c>
      <c r="H1205" s="2" t="str">
        <f>"2003"</f>
        <v>2003</v>
      </c>
      <c r="I1205" s="3" t="str">
        <f>""</f>
        <v/>
      </c>
    </row>
    <row r="1206" spans="1:9" x14ac:dyDescent="0.3">
      <c r="A1206" s="2">
        <v>1205</v>
      </c>
      <c r="B1206" s="4" t="s">
        <v>26</v>
      </c>
      <c r="C1206" s="3" t="str">
        <f>"TFC000003245"</f>
        <v>TFC000003245</v>
      </c>
      <c r="D1206" s="3" t="str">
        <f>"F800-21-0266-(AR 2.5)"</f>
        <v>F800-21-0266-(AR 2.5)</v>
      </c>
      <c r="E1206" s="3" t="str">
        <f>"Richard Scarry's the best mistake ever! and other stories"</f>
        <v>Richard Scarry's the best mistake ever! and other stories</v>
      </c>
      <c r="F1206" s="3" t="str">
        <f>"by Richard Scarry"</f>
        <v>by Richard Scarry</v>
      </c>
      <c r="G1206" s="3" t="str">
        <f>"Random House"</f>
        <v>Random House</v>
      </c>
      <c r="H1206" s="2" t="str">
        <f>"2002"</f>
        <v>2002</v>
      </c>
      <c r="I1206" s="3" t="str">
        <f>""</f>
        <v/>
      </c>
    </row>
    <row r="1207" spans="1:9" x14ac:dyDescent="0.3">
      <c r="A1207" s="2">
        <v>1206</v>
      </c>
      <c r="B1207" s="4" t="s">
        <v>26</v>
      </c>
      <c r="C1207" s="3" t="str">
        <f>"TFC000003319"</f>
        <v>TFC000003319</v>
      </c>
      <c r="D1207" s="3" t="str">
        <f>"F400-21-0258-(AR 2.5)"</f>
        <v>F400-21-0258-(AR 2.5)</v>
      </c>
      <c r="E1207" s="3" t="str">
        <f>"Baby turkeys"</f>
        <v>Baby turkeys</v>
      </c>
      <c r="F1207" s="3" t="str">
        <f>"by Martha London"</f>
        <v>by Martha London</v>
      </c>
      <c r="G1207" s="3" t="str">
        <f>"Cody Koala"</f>
        <v>Cody Koala</v>
      </c>
      <c r="H1207" s="2" t="str">
        <f>"2021"</f>
        <v>2021</v>
      </c>
      <c r="I1207" s="3" t="str">
        <f>""</f>
        <v/>
      </c>
    </row>
    <row r="1208" spans="1:9" x14ac:dyDescent="0.3">
      <c r="A1208" s="2">
        <v>1207</v>
      </c>
      <c r="B1208" s="4" t="s">
        <v>26</v>
      </c>
      <c r="C1208" s="3" t="str">
        <f>"TFC000003320"</f>
        <v>TFC000003320</v>
      </c>
      <c r="D1208" s="3" t="str">
        <f>"F800-21-0267-(AR 2.5)"</f>
        <v>F800-21-0267-(AR 2.5)</v>
      </c>
      <c r="E1208" s="3" t="str">
        <f>"Clowns from outer space"</f>
        <v>Clowns from outer space</v>
      </c>
      <c r="F1208" s="3" t="str">
        <f>"by Michael Dahl ; illustrated by Patrycja Fabicka"</f>
        <v>by Michael Dahl ; illustrated by Patrycja Fabicka</v>
      </c>
      <c r="G1208" s="3" t="str">
        <f>"Picture Window Books"</f>
        <v>Picture Window Books</v>
      </c>
      <c r="H1208" s="2" t="str">
        <f>"2020"</f>
        <v>2020</v>
      </c>
      <c r="I1208" s="3" t="str">
        <f>""</f>
        <v/>
      </c>
    </row>
    <row r="1209" spans="1:9" x14ac:dyDescent="0.3">
      <c r="A1209" s="2">
        <v>1208</v>
      </c>
      <c r="B1209" s="4" t="s">
        <v>26</v>
      </c>
      <c r="C1209" s="3" t="str">
        <f>"TFC000003321"</f>
        <v>TFC000003321</v>
      </c>
      <c r="D1209" s="3" t="str">
        <f>"F500-21-0263-(AR 2.5)"</f>
        <v>F500-21-0263-(AR 2.5)</v>
      </c>
      <c r="E1209" s="3" t="str">
        <f>"Know your senses"</f>
        <v>Know your senses</v>
      </c>
      <c r="F1209" s="3" t="str">
        <f>"by Mari C Schuh"</f>
        <v>by Mari C Schuh</v>
      </c>
      <c r="G1209" s="3" t="str">
        <f>"Pebble"</f>
        <v>Pebble</v>
      </c>
      <c r="H1209" s="2" t="str">
        <f>"2021"</f>
        <v>2021</v>
      </c>
      <c r="I1209" s="3" t="str">
        <f>""</f>
        <v/>
      </c>
    </row>
    <row r="1210" spans="1:9" x14ac:dyDescent="0.3">
      <c r="A1210" s="2">
        <v>1209</v>
      </c>
      <c r="B1210" s="4" t="s">
        <v>26</v>
      </c>
      <c r="C1210" s="3" t="str">
        <f>"TFC000003323"</f>
        <v>TFC000003323</v>
      </c>
      <c r="D1210" s="3" t="str">
        <f>"F800-21-0269-(AR 2.5)"</f>
        <v>F800-21-0269-(AR 2.5)</v>
      </c>
      <c r="E1210" s="3" t="str">
        <f>"(The)trouble with time travel"</f>
        <v>(The)trouble with time travel</v>
      </c>
      <c r="F1210" s="3" t="str">
        <f>"written by Stephen W. Martin ; illustrated by Cornelia Li"</f>
        <v>written by Stephen W. Martin ; illustrated by Cornelia Li</v>
      </c>
      <c r="G1210" s="3" t="str">
        <f>"Owlkids Books"</f>
        <v>Owlkids Books</v>
      </c>
      <c r="H1210" s="2" t="str">
        <f>"2019"</f>
        <v>2019</v>
      </c>
      <c r="I1210" s="3" t="str">
        <f>""</f>
        <v/>
      </c>
    </row>
    <row r="1211" spans="1:9" x14ac:dyDescent="0.3">
      <c r="A1211" s="2">
        <v>1210</v>
      </c>
      <c r="B1211" s="4" t="s">
        <v>26</v>
      </c>
      <c r="C1211" s="3" t="str">
        <f>"TFC000004041"</f>
        <v>TFC000004041</v>
      </c>
      <c r="D1211" s="3" t="str">
        <f>"F800-21-0289-(AR 2.5)"</f>
        <v>F800-21-0289-(AR 2.5)</v>
      </c>
      <c r="E1211" s="3" t="str">
        <f>"Donut Danger"</f>
        <v>Donut Danger</v>
      </c>
      <c r="F1211" s="3" t="str">
        <f>"by John Sazaklis, illustrated by Jesus Lopez"</f>
        <v>by John Sazaklis, illustrated by Jesus Lopez</v>
      </c>
      <c r="G1211" s="3" t="str">
        <f>"Picture Window"</f>
        <v>Picture Window</v>
      </c>
      <c r="H1211" s="2" t="str">
        <f>"2021"</f>
        <v>2021</v>
      </c>
      <c r="I1211" s="3" t="str">
        <f>""</f>
        <v/>
      </c>
    </row>
    <row r="1212" spans="1:9" x14ac:dyDescent="0.3">
      <c r="A1212" s="2">
        <v>1211</v>
      </c>
      <c r="B1212" s="4" t="s">
        <v>26</v>
      </c>
      <c r="C1212" s="3" t="str">
        <f>"TFC000004040"</f>
        <v>TFC000004040</v>
      </c>
      <c r="D1212" s="3" t="str">
        <f>"F400-21-0262-(AR 2.5)"</f>
        <v>F400-21-0262-(AR 2.5)</v>
      </c>
      <c r="E1212" s="3" t="str">
        <f>"Giant Clams"</f>
        <v>Giant Clams</v>
      </c>
      <c r="F1212" s="3" t="str">
        <f>"by Kate Moening"</f>
        <v>by Kate Moening</v>
      </c>
      <c r="G1212" s="3" t="str">
        <f>"Blastoff! Readers"</f>
        <v>Blastoff! Readers</v>
      </c>
      <c r="H1212" s="2" t="str">
        <f>"2021"</f>
        <v>2021</v>
      </c>
      <c r="I1212" s="3" t="str">
        <f>""</f>
        <v/>
      </c>
    </row>
    <row r="1213" spans="1:9" x14ac:dyDescent="0.3">
      <c r="A1213" s="2">
        <v>1212</v>
      </c>
      <c r="B1213" s="4" t="s">
        <v>26</v>
      </c>
      <c r="C1213" s="3" t="str">
        <f>"TFC000003973"</f>
        <v>TFC000003973</v>
      </c>
      <c r="D1213" s="3" t="str">
        <f>"F400-21-0259-(AR 2.5)"</f>
        <v>F400-21-0259-(AR 2.5)</v>
      </c>
      <c r="E1213" s="3" t="str">
        <f>"All about Baby Sea Lions"</f>
        <v>All about Baby Sea Lions</v>
      </c>
      <c r="F1213" s="3" t="str">
        <f>"Martha E. H. Rustad"</f>
        <v>Martha E. H. Rustad</v>
      </c>
      <c r="G1213" s="3" t="str">
        <f>"Pebble Books"</f>
        <v>Pebble Books</v>
      </c>
      <c r="H1213" s="2" t="str">
        <f>"2021"</f>
        <v>2021</v>
      </c>
      <c r="I1213" s="3" t="str">
        <f>""</f>
        <v/>
      </c>
    </row>
    <row r="1214" spans="1:9" x14ac:dyDescent="0.3">
      <c r="A1214" s="2">
        <v>1213</v>
      </c>
      <c r="B1214" s="4" t="s">
        <v>26</v>
      </c>
      <c r="C1214" s="3" t="str">
        <f>"TFC000003568"</f>
        <v>TFC000003568</v>
      </c>
      <c r="D1214" s="3" t="str">
        <f>"F800-21-0272-(AR 2.5)"</f>
        <v>F800-21-0272-(AR 2.5)</v>
      </c>
      <c r="E1214" s="3" t="str">
        <f>"Grandpa green"</f>
        <v>Grandpa green</v>
      </c>
      <c r="F1214" s="3" t="str">
        <f>"by Lane Smith"</f>
        <v>by Lane Smith</v>
      </c>
      <c r="G1214" s="3" t="str">
        <f>"Roaring Brook Press"</f>
        <v>Roaring Brook Press</v>
      </c>
      <c r="H1214" s="2" t="str">
        <f>"2012"</f>
        <v>2012</v>
      </c>
      <c r="I1214" s="3" t="str">
        <f>""</f>
        <v/>
      </c>
    </row>
    <row r="1215" spans="1:9" x14ac:dyDescent="0.3">
      <c r="A1215" s="2">
        <v>1214</v>
      </c>
      <c r="B1215" s="4" t="s">
        <v>26</v>
      </c>
      <c r="C1215" s="3" t="str">
        <f>"TFC000003606"</f>
        <v>TFC000003606</v>
      </c>
      <c r="D1215" s="3" t="str">
        <f>"F800-21-0273-(AR 2.5)"</f>
        <v>F800-21-0273-(AR 2.5)</v>
      </c>
      <c r="E1215" s="3" t="str">
        <f>"Edwina, the dinosaur who didn't know she was extinct"</f>
        <v>Edwina, the dinosaur who didn't know she was extinct</v>
      </c>
      <c r="F1215" s="3" t="str">
        <f>"words and picturesbby Mo Willems"</f>
        <v>words and picturesbby Mo Willems</v>
      </c>
      <c r="G1215" s="3" t="str">
        <f>"Hyperion Books for Children"</f>
        <v>Hyperion Books for Children</v>
      </c>
      <c r="H1215" s="2" t="str">
        <f>"2006"</f>
        <v>2006</v>
      </c>
      <c r="I1215" s="3" t="str">
        <f>""</f>
        <v/>
      </c>
    </row>
    <row r="1216" spans="1:9" x14ac:dyDescent="0.3">
      <c r="A1216" s="2">
        <v>1215</v>
      </c>
      <c r="B1216" s="4" t="s">
        <v>26</v>
      </c>
      <c r="C1216" s="3" t="str">
        <f>"TFC000003607"</f>
        <v>TFC000003607</v>
      </c>
      <c r="D1216" s="3" t="str">
        <f>"F800-21-0274-(AR 2.5)"</f>
        <v>F800-21-0274-(AR 2.5)</v>
      </c>
      <c r="E1216" s="3" t="str">
        <f>"Jak and the magic nano-beans : a graphic novel"</f>
        <v>Jak and the magic nano-beans : a graphic novel</v>
      </c>
      <c r="F1216" s="3" t="str">
        <f>"by Carl Bowen ; illustrated by Omar Lozano"</f>
        <v>by Carl Bowen ; illustrated by Omar Lozano</v>
      </c>
      <c r="G1216" s="3" t="str">
        <f>"Stone Arch Books, a Capstone imprint"</f>
        <v>Stone Arch Books, a Capstone imprint</v>
      </c>
      <c r="H1216" s="2" t="str">
        <f>"2016"</f>
        <v>2016</v>
      </c>
      <c r="I1216" s="3" t="str">
        <f>""</f>
        <v/>
      </c>
    </row>
    <row r="1217" spans="1:9" x14ac:dyDescent="0.3">
      <c r="A1217" s="2">
        <v>1216</v>
      </c>
      <c r="B1217" s="4" t="s">
        <v>26</v>
      </c>
      <c r="C1217" s="3" t="str">
        <f>"TFC000003700"</f>
        <v>TFC000003700</v>
      </c>
      <c r="D1217" s="3" t="str">
        <f>"F800-21-0275-(AR 2.5)"</f>
        <v>F800-21-0275-(AR 2.5)</v>
      </c>
      <c r="E1217" s="3" t="str">
        <f>"Keep dancing"</f>
        <v>Keep dancing</v>
      </c>
      <c r="F1217" s="3" t="str">
        <f>"by Cristina Oxtra ; illustrated by Seb Burnett"</f>
        <v>by Cristina Oxtra ; illustrated by Seb Burnett</v>
      </c>
      <c r="G1217" s="3" t="str">
        <f>"Picture Window Books"</f>
        <v>Picture Window Books</v>
      </c>
      <c r="H1217" s="2" t="str">
        <f>"2021"</f>
        <v>2021</v>
      </c>
      <c r="I1217" s="3" t="str">
        <f>""</f>
        <v/>
      </c>
    </row>
    <row r="1218" spans="1:9" x14ac:dyDescent="0.3">
      <c r="A1218" s="2">
        <v>1217</v>
      </c>
      <c r="B1218" s="4" t="s">
        <v>26</v>
      </c>
      <c r="C1218" s="3" t="str">
        <f>"TFC000003706"</f>
        <v>TFC000003706</v>
      </c>
      <c r="D1218" s="3" t="str">
        <f>"F800-21-0276-(AR 2.5)"</f>
        <v>F800-21-0276-(AR 2.5)</v>
      </c>
      <c r="E1218" s="3" t="str">
        <f>"Bedtime bonnet"</f>
        <v>Bedtime bonnet</v>
      </c>
      <c r="F1218" s="3" t="str">
        <f>"by Nancy Redd ; illustrated by Nneka Myers"</f>
        <v>by Nancy Redd ; illustrated by Nneka Myers</v>
      </c>
      <c r="G1218" s="3" t="str">
        <f>"Random House"</f>
        <v>Random House</v>
      </c>
      <c r="H1218" s="2" t="str">
        <f>"2020"</f>
        <v>2020</v>
      </c>
      <c r="I1218" s="3" t="str">
        <f>""</f>
        <v/>
      </c>
    </row>
    <row r="1219" spans="1:9" x14ac:dyDescent="0.3">
      <c r="A1219" s="2">
        <v>1218</v>
      </c>
      <c r="B1219" s="4" t="s">
        <v>26</v>
      </c>
      <c r="C1219" s="3" t="str">
        <f>"TFC000003743"</f>
        <v>TFC000003743</v>
      </c>
      <c r="D1219" s="3" t="str">
        <f>"F800-21-0277-(AR 2.5)"</f>
        <v>F800-21-0277-(AR 2.5)</v>
      </c>
      <c r="E1219" s="3" t="str">
        <f>"(The)little league team from the black lagoon"</f>
        <v>(The)little league team from the black lagoon</v>
      </c>
      <c r="F1219" s="3" t="str">
        <f>"by Mike Thaler ; illustraed by Jared lee"</f>
        <v>by Mike Thaler ; illustraed by Jared lee</v>
      </c>
      <c r="G1219" s="3" t="str">
        <f>"Scholastic"</f>
        <v>Scholastic</v>
      </c>
      <c r="H1219" s="2" t="str">
        <f>"2017"</f>
        <v>2017</v>
      </c>
      <c r="I1219" s="3" t="str">
        <f>""</f>
        <v/>
      </c>
    </row>
    <row r="1220" spans="1:9" x14ac:dyDescent="0.3">
      <c r="A1220" s="2">
        <v>1219</v>
      </c>
      <c r="B1220" s="4" t="s">
        <v>26</v>
      </c>
      <c r="C1220" s="3" t="str">
        <f>"TFC000003750"</f>
        <v>TFC000003750</v>
      </c>
      <c r="D1220" s="3" t="str">
        <f>"F800-21-0278-(AR 2.5)"</f>
        <v>F800-21-0278-(AR 2.5)</v>
      </c>
      <c r="E1220" s="3" t="str">
        <f>"(The)summer vamation from the black lagoon"</f>
        <v>(The)summer vamation from the black lagoon</v>
      </c>
      <c r="F1220" s="3" t="str">
        <f>"by Mike Thaler ; illustraed by Jared lee"</f>
        <v>by Mike Thaler ; illustraed by Jared lee</v>
      </c>
      <c r="G1220" s="3" t="str">
        <f>"Scholastic"</f>
        <v>Scholastic</v>
      </c>
      <c r="H1220" s="2" t="str">
        <f>"2010"</f>
        <v>2010</v>
      </c>
      <c r="I1220" s="3" t="str">
        <f>""</f>
        <v/>
      </c>
    </row>
    <row r="1221" spans="1:9" x14ac:dyDescent="0.3">
      <c r="A1221" s="2">
        <v>1220</v>
      </c>
      <c r="B1221" s="4" t="s">
        <v>26</v>
      </c>
      <c r="C1221" s="3" t="str">
        <f>"TFC000003844"</f>
        <v>TFC000003844</v>
      </c>
      <c r="D1221" s="3" t="str">
        <f>"F800-21-0280-(AR 2.5)"</f>
        <v>F800-21-0280-(AR 2.5)</v>
      </c>
      <c r="E1221" s="3" t="str">
        <f>"(The)Bad Guys. 6, Alien vs Bad Guys"</f>
        <v>(The)Bad Guys. 6, Alien vs Bad Guys</v>
      </c>
      <c r="F1221" s="3" t="str">
        <f>"by Aaron Blabey"</f>
        <v>by Aaron Blabey</v>
      </c>
      <c r="G1221" s="3" t="str">
        <f>"Scholastic"</f>
        <v>Scholastic</v>
      </c>
      <c r="H1221" s="2" t="str">
        <f>"2020"</f>
        <v>2020</v>
      </c>
      <c r="I1221" s="3" t="str">
        <f>""</f>
        <v/>
      </c>
    </row>
    <row r="1222" spans="1:9" x14ac:dyDescent="0.3">
      <c r="A1222" s="2">
        <v>1221</v>
      </c>
      <c r="B1222" s="4" t="s">
        <v>26</v>
      </c>
      <c r="C1222" s="3" t="str">
        <f>"TFC000003860"</f>
        <v>TFC000003860</v>
      </c>
      <c r="D1222" s="3" t="str">
        <f>"F800-21-0281-(AR 2.5)"</f>
        <v>F800-21-0281-(AR 2.5)</v>
      </c>
      <c r="E1222" s="3" t="str">
        <f>"Grumpy Monkey Up All Night"</f>
        <v>Grumpy Monkey Up All Night</v>
      </c>
      <c r="F1222" s="3" t="str">
        <f>"by Suzanne Lang, illustrated by Max Lang"</f>
        <v>by Suzanne Lang, illustrated by Max Lang</v>
      </c>
      <c r="G1222" s="3" t="str">
        <f>"Random House"</f>
        <v>Random House</v>
      </c>
      <c r="H1222" s="2" t="str">
        <f>"2020"</f>
        <v>2020</v>
      </c>
      <c r="I1222" s="3" t="str">
        <f>""</f>
        <v/>
      </c>
    </row>
    <row r="1223" spans="1:9" x14ac:dyDescent="0.3">
      <c r="A1223" s="2">
        <v>1222</v>
      </c>
      <c r="B1223" s="4" t="s">
        <v>26</v>
      </c>
      <c r="C1223" s="3" t="str">
        <f>"TFC000003975"</f>
        <v>TFC000003975</v>
      </c>
      <c r="D1223" s="3" t="str">
        <f>"F400-21-0261-(AR 2.5)"</f>
        <v>F400-21-0261-(AR 2.5)</v>
      </c>
      <c r="E1223" s="3" t="str">
        <f>"All about Baby African Elephants"</f>
        <v>All about Baby African Elephants</v>
      </c>
      <c r="F1223" s="3" t="str">
        <f>"by Martha E.H. Rustad"</f>
        <v>by Martha E.H. Rustad</v>
      </c>
      <c r="G1223" s="3" t="str">
        <f>"Pebble Books"</f>
        <v>Pebble Books</v>
      </c>
      <c r="H1223" s="2" t="str">
        <f>"2021"</f>
        <v>2021</v>
      </c>
      <c r="I1223" s="3" t="str">
        <f>""</f>
        <v/>
      </c>
    </row>
    <row r="1224" spans="1:9" x14ac:dyDescent="0.3">
      <c r="A1224" s="2">
        <v>1223</v>
      </c>
      <c r="B1224" s="4" t="s">
        <v>26</v>
      </c>
      <c r="C1224" s="3" t="str">
        <f>"TFC000004147"</f>
        <v>TFC000004147</v>
      </c>
      <c r="D1224" s="3" t="str">
        <f>"F800-21-0290-(AR 2.5)"</f>
        <v>F800-21-0290-(AR 2.5)</v>
      </c>
      <c r="E1224" s="3" t="str">
        <f>"Laura Dean keeps breaking up with me"</f>
        <v>Laura Dean keeps breaking up with me</v>
      </c>
      <c r="F1224" s="3" t="str">
        <f>"Mariko Tamaki, illustrated by Rosemary Valero-O'Connell"</f>
        <v>Mariko Tamaki, illustrated by Rosemary Valero-O'Connell</v>
      </c>
      <c r="G1224" s="3" t="str">
        <f>"First Second"</f>
        <v>First Second</v>
      </c>
      <c r="H1224" s="2" t="str">
        <f>"2019"</f>
        <v>2019</v>
      </c>
      <c r="I1224" s="3" t="str">
        <f>""</f>
        <v/>
      </c>
    </row>
    <row r="1225" spans="1:9" x14ac:dyDescent="0.3">
      <c r="A1225" s="2">
        <v>1224</v>
      </c>
      <c r="B1225" s="4" t="s">
        <v>26</v>
      </c>
      <c r="C1225" s="3" t="str">
        <f>"TFC000004274"</f>
        <v>TFC000004274</v>
      </c>
      <c r="D1225" s="3" t="str">
        <f>"F800-22-0006-(AR 2.5)"</f>
        <v>F800-22-0006-(AR 2.5)</v>
      </c>
      <c r="E1225" s="3" t="str">
        <f>"(The)bad guys. 10, a(The)Baddest day ever"</f>
        <v>(The)bad guys. 10, a(The)Baddest day ever</v>
      </c>
      <c r="F1225" s="3" t="str">
        <f>"by Aaron Blabey"</f>
        <v>by Aaron Blabey</v>
      </c>
      <c r="G1225" s="3" t="str">
        <f>"Scholastic Singapore"</f>
        <v>Scholastic Singapore</v>
      </c>
      <c r="H1225" s="2" t="str">
        <f>"2019"</f>
        <v>2019</v>
      </c>
      <c r="I1225" s="3" t="str">
        <f>""</f>
        <v/>
      </c>
    </row>
    <row r="1226" spans="1:9" x14ac:dyDescent="0.3">
      <c r="A1226" s="2">
        <v>1225</v>
      </c>
      <c r="B1226" s="4" t="s">
        <v>26</v>
      </c>
      <c r="C1226" s="3" t="str">
        <f>"TFC000004281"</f>
        <v>TFC000004281</v>
      </c>
      <c r="D1226" s="3" t="str">
        <f>"F800-22-0009-(AR 2.5)=2"</f>
        <v>F800-22-0009-(AR 2.5)=2</v>
      </c>
      <c r="E1226" s="3" t="str">
        <f>"Press Start!. 4, Super Rabbit Boy vs. Super Rabbit Boss!"</f>
        <v>Press Start!. 4, Super Rabbit Boy vs. Super Rabbit Boss!</v>
      </c>
      <c r="F1226" s="3" t="str">
        <f>"by Thomas Flintham"</f>
        <v>by Thomas Flintham</v>
      </c>
      <c r="G1226" s="3" t="str">
        <f>"Branches"</f>
        <v>Branches</v>
      </c>
      <c r="H1226" s="2" t="str">
        <f>"2018"</f>
        <v>2018</v>
      </c>
      <c r="I1226" s="3" t="str">
        <f>""</f>
        <v/>
      </c>
    </row>
    <row r="1227" spans="1:9" x14ac:dyDescent="0.3">
      <c r="A1227" s="2">
        <v>1226</v>
      </c>
      <c r="B1227" s="4" t="s">
        <v>26</v>
      </c>
      <c r="C1227" s="3" t="str">
        <f>"TFC000004283"</f>
        <v>TFC000004283</v>
      </c>
      <c r="D1227" s="3" t="str">
        <f>"F800-22-0007-(AR 2.5)"</f>
        <v>F800-22-0007-(AR 2.5)</v>
      </c>
      <c r="E1227" s="3" t="str">
        <f>"Press start!. 6, (The)Super side-quest test!"</f>
        <v>Press start!. 6, (The)Super side-quest test!</v>
      </c>
      <c r="F1227" s="3" t="str">
        <f>"by Thomas Flintham"</f>
        <v>by Thomas Flintham</v>
      </c>
      <c r="G1227" s="3" t="str">
        <f>"scholastic"</f>
        <v>scholastic</v>
      </c>
      <c r="H1227" s="2" t="str">
        <f>"2019"</f>
        <v>2019</v>
      </c>
      <c r="I1227" s="3" t="str">
        <f>""</f>
        <v/>
      </c>
    </row>
    <row r="1228" spans="1:9" x14ac:dyDescent="0.3">
      <c r="A1228" s="2">
        <v>1227</v>
      </c>
      <c r="B1228" s="4" t="s">
        <v>26</v>
      </c>
      <c r="C1228" s="3" t="str">
        <f>"TFC000004318"</f>
        <v>TFC000004318</v>
      </c>
      <c r="D1228" s="3" t="str">
        <f>"F800-22-0123-(AR 2.5)"</f>
        <v>F800-22-0123-(AR 2.5)</v>
      </c>
      <c r="E1228" s="3" t="str">
        <f>"Out of a jar"</f>
        <v>Out of a jar</v>
      </c>
      <c r="F1228" s="3" t="str">
        <f>"Deborah Marcero"</f>
        <v>Deborah Marcero</v>
      </c>
      <c r="G1228" s="3" t="str">
        <f>"G. P. Putnam's Sons"</f>
        <v>G. P. Putnam's Sons</v>
      </c>
      <c r="H1228" s="2" t="str">
        <f>"2022"</f>
        <v>2022</v>
      </c>
      <c r="I1228" s="3" t="str">
        <f>""</f>
        <v/>
      </c>
    </row>
    <row r="1229" spans="1:9" x14ac:dyDescent="0.3">
      <c r="A1229" s="2">
        <v>1228</v>
      </c>
      <c r="B1229" s="4" t="s">
        <v>26</v>
      </c>
      <c r="C1229" s="3" t="str">
        <f>"TFC000004319"</f>
        <v>TFC000004319</v>
      </c>
      <c r="D1229" s="3" t="str">
        <f>"F800-22-0116-(AR 2.5)"</f>
        <v>F800-22-0116-(AR 2.5)</v>
      </c>
      <c r="E1229" s="3" t="str">
        <f>"Mina"</f>
        <v>Mina</v>
      </c>
      <c r="F1229" s="3" t="str">
        <f>"by Matthew Forsythe"</f>
        <v>by Matthew Forsythe</v>
      </c>
      <c r="G1229" s="3" t="str">
        <f>"Simon &amp; Schuster"</f>
        <v>Simon &amp; Schuster</v>
      </c>
      <c r="H1229" s="2" t="str">
        <f>"2022"</f>
        <v>2022</v>
      </c>
      <c r="I1229" s="3" t="str">
        <f>""</f>
        <v/>
      </c>
    </row>
    <row r="1230" spans="1:9" x14ac:dyDescent="0.3">
      <c r="A1230" s="2">
        <v>1229</v>
      </c>
      <c r="B1230" s="4" t="s">
        <v>26</v>
      </c>
      <c r="C1230" s="3" t="str">
        <f>"TFC000004698"</f>
        <v>TFC000004698</v>
      </c>
      <c r="D1230" s="3" t="str">
        <f>"F800-22-0507-(AR2.5)"</f>
        <v>F800-22-0507-(AR2.5)</v>
      </c>
      <c r="E1230" s="3" t="str">
        <f>"Minecraft. Volume 3 : Graphic Novel"</f>
        <v>Minecraft. Volume 3 : Graphic Novel</v>
      </c>
      <c r="F1230" s="3" t="str">
        <f>"by Sfe R. Monster, ill Sarah Graley, Stef Purenins"</f>
        <v>by Sfe R. Monster, ill Sarah Graley, Stef Purenins</v>
      </c>
      <c r="G1230" s="3" t="str">
        <f>"Dark Horse Books"</f>
        <v>Dark Horse Books</v>
      </c>
      <c r="H1230" s="2" t="str">
        <f>"2021"</f>
        <v>2021</v>
      </c>
      <c r="I1230" s="3" t="str">
        <f>""</f>
        <v/>
      </c>
    </row>
    <row r="1231" spans="1:9" x14ac:dyDescent="0.3">
      <c r="A1231" s="2">
        <v>1230</v>
      </c>
      <c r="B1231" s="4" t="s">
        <v>26</v>
      </c>
      <c r="C1231" s="3" t="str">
        <f>"TFC000004342"</f>
        <v>TFC000004342</v>
      </c>
      <c r="D1231" s="3" t="str">
        <f>"F800-22-0151-(AR2.5)"</f>
        <v>F800-22-0151-(AR2.5)</v>
      </c>
      <c r="E1231" s="3" t="str">
        <f>"Beneath the bed and other scary stories"</f>
        <v>Beneath the bed and other scary stories</v>
      </c>
      <c r="F1231" s="3" t="str">
        <f>"written by Max Brallier, illustrated by Letizia Rubegni"</f>
        <v>written by Max Brallier, illustrated by Letizia Rubegni</v>
      </c>
      <c r="G1231" s="3" t="str">
        <f>"Scholastic"</f>
        <v>Scholastic</v>
      </c>
      <c r="H1231" s="2" t="str">
        <f>"2019"</f>
        <v>2019</v>
      </c>
      <c r="I1231" s="3" t="str">
        <f>""</f>
        <v/>
      </c>
    </row>
    <row r="1232" spans="1:9" x14ac:dyDescent="0.3">
      <c r="A1232" s="2">
        <v>1231</v>
      </c>
      <c r="B1232" s="4" t="s">
        <v>26</v>
      </c>
      <c r="C1232" s="3" t="str">
        <f>"TFC000004437"</f>
        <v>TFC000004437</v>
      </c>
      <c r="D1232" s="3" t="str">
        <f>"F800-22-0246-(AR2.5)"</f>
        <v>F800-22-0246-(AR2.5)</v>
      </c>
      <c r="E1232" s="3" t="str">
        <f>"Draw Me a Story : Disney The One and Only Ivan"</f>
        <v>Draw Me a Story : Disney The One and Only Ivan</v>
      </c>
      <c r="F1232" s="3" t="str">
        <f>"by Beth Ferry, Drawings by Gonzalo Kenny"</f>
        <v>by Beth Ferry, Drawings by Gonzalo Kenny</v>
      </c>
      <c r="G1232" s="3" t="str">
        <f>"Disney Press"</f>
        <v>Disney Press</v>
      </c>
      <c r="H1232" s="2" t="str">
        <f>"2020"</f>
        <v>2020</v>
      </c>
      <c r="I1232" s="3" t="str">
        <f>""</f>
        <v/>
      </c>
    </row>
    <row r="1233" spans="1:9" x14ac:dyDescent="0.3">
      <c r="A1233" s="2">
        <v>1232</v>
      </c>
      <c r="B1233" s="4" t="s">
        <v>26</v>
      </c>
      <c r="C1233" s="3" t="str">
        <f>"TFC000004438"</f>
        <v>TFC000004438</v>
      </c>
      <c r="D1233" s="3" t="str">
        <f>"F800-22-0247-(AR2.5)"</f>
        <v>F800-22-0247-(AR2.5)</v>
      </c>
      <c r="E1233" s="3" t="str">
        <f>"(The)Thing Lenny Loves Most about Baseball"</f>
        <v>(The)Thing Lenny Loves Most about Baseball</v>
      </c>
      <c r="F1233" s="3" t="str">
        <f>"by Andrew Larsen/ ; [illustrated by] Milan Pavlovic"</f>
        <v>by Andrew Larsen/ ; [illustrated by] Milan Pavlovic</v>
      </c>
      <c r="G1233" s="3" t="str">
        <f>"Kids Can Press"</f>
        <v>Kids Can Press</v>
      </c>
      <c r="H1233" s="2" t="str">
        <f>"2021"</f>
        <v>2021</v>
      </c>
      <c r="I1233" s="3" t="str">
        <f>""</f>
        <v/>
      </c>
    </row>
    <row r="1234" spans="1:9" x14ac:dyDescent="0.3">
      <c r="A1234" s="2">
        <v>1233</v>
      </c>
      <c r="B1234" s="4" t="s">
        <v>26</v>
      </c>
      <c r="C1234" s="3" t="str">
        <f>"TFC000004522"</f>
        <v>TFC000004522</v>
      </c>
      <c r="D1234" s="3" t="str">
        <f>"F600-22-0331-(AR2.5)"</f>
        <v>F600-22-0331-(AR2.5)</v>
      </c>
      <c r="E1234" s="3" t="str">
        <f>"Karen's roller skates"</f>
        <v>Karen's roller skates</v>
      </c>
      <c r="F1234" s="3" t="str">
        <f>"by Ann M. Martin, a graphic novel by Katy Farina"</f>
        <v>by Ann M. Martin, a graphic novel by Katy Farina</v>
      </c>
      <c r="G1234" s="3" t="str">
        <f>"Graphix"</f>
        <v>Graphix</v>
      </c>
      <c r="H1234" s="2" t="str">
        <f>"2020"</f>
        <v>2020</v>
      </c>
      <c r="I1234" s="3" t="str">
        <f>""</f>
        <v/>
      </c>
    </row>
    <row r="1235" spans="1:9" x14ac:dyDescent="0.3">
      <c r="A1235" s="2">
        <v>1234</v>
      </c>
      <c r="B1235" s="4" t="s">
        <v>26</v>
      </c>
      <c r="C1235" s="3" t="str">
        <f>"TFC000004523"</f>
        <v>TFC000004523</v>
      </c>
      <c r="D1235" s="3" t="str">
        <f>"F600-22-0332-(AR2.5)"</f>
        <v>F600-22-0332-(AR2.5)</v>
      </c>
      <c r="E1235" s="3" t="str">
        <f>"Wcmx Daredevil"</f>
        <v>Wcmx Daredevil</v>
      </c>
      <c r="F1235" s="3" t="str">
        <f>"by Jake Maddox, Art by Erika Vitrano"</f>
        <v>by Jake Maddox, Art by Erika Vitrano</v>
      </c>
      <c r="G1235" s="3" t="str">
        <f>"Stone Arch Books"</f>
        <v>Stone Arch Books</v>
      </c>
      <c r="H1235" s="2" t="str">
        <f>"2022"</f>
        <v>2022</v>
      </c>
      <c r="I1235" s="3" t="str">
        <f>""</f>
        <v/>
      </c>
    </row>
    <row r="1236" spans="1:9" x14ac:dyDescent="0.3">
      <c r="A1236" s="2">
        <v>1235</v>
      </c>
      <c r="B1236" s="4" t="s">
        <v>26</v>
      </c>
      <c r="C1236" s="3" t="str">
        <f>"TFC000000788"</f>
        <v>TFC000000788</v>
      </c>
      <c r="D1236" s="3" t="str">
        <f>"F800-20-0868-1(AR 2.5)"</f>
        <v>F800-20-0868-1(AR 2.5)</v>
      </c>
      <c r="E1236" s="3" t="str">
        <f>"Bink &amp; Gollie. 1"</f>
        <v>Bink &amp; Gollie. 1</v>
      </c>
      <c r="F1236" s="3" t="str">
        <f>"Kate DiCamillo, Alison McGhee ; illustrated by Tony Fucile"</f>
        <v>Kate DiCamillo, Alison McGhee ; illustrated by Tony Fucile</v>
      </c>
      <c r="G1236" s="3" t="str">
        <f>"Candlewick Press"</f>
        <v>Candlewick Press</v>
      </c>
      <c r="H1236" s="2" t="str">
        <f>"2012"</f>
        <v>2012</v>
      </c>
      <c r="I1236" s="3" t="str">
        <f>""</f>
        <v/>
      </c>
    </row>
    <row r="1237" spans="1:9" x14ac:dyDescent="0.3">
      <c r="A1237" s="2">
        <v>1236</v>
      </c>
      <c r="B1237" s="4" t="s">
        <v>26</v>
      </c>
      <c r="C1237" s="3" t="str">
        <f>"TFC000000796"</f>
        <v>TFC000000796</v>
      </c>
      <c r="D1237" s="3" t="str">
        <f>"F800-20-0875-1(AR 2.5)"</f>
        <v>F800-20-0875-1(AR 2.5)</v>
      </c>
      <c r="E1237" s="3" t="str">
        <f>"Iris and Walter true friends"</f>
        <v>Iris and Walter true friends</v>
      </c>
      <c r="F1237" s="3" t="str">
        <f>"written by Elissa Haden Guest ; illustrated by Christine Davenier"</f>
        <v>written by Elissa Haden Guest ; illustrated by Christine Davenier</v>
      </c>
      <c r="G1237" s="3" t="str">
        <f>"Houghton Mifflin Harcourt"</f>
        <v>Houghton Mifflin Harcourt</v>
      </c>
      <c r="H1237" s="2" t="str">
        <f>"2015"</f>
        <v>2015</v>
      </c>
      <c r="I1237" s="3" t="str">
        <f>""</f>
        <v/>
      </c>
    </row>
    <row r="1238" spans="1:9" x14ac:dyDescent="0.3">
      <c r="A1238" s="2">
        <v>1237</v>
      </c>
      <c r="B1238" s="4" t="s">
        <v>26</v>
      </c>
      <c r="C1238" s="3" t="str">
        <f>"TFC000000808"</f>
        <v>TFC000000808</v>
      </c>
      <c r="D1238" s="3" t="str">
        <f>"F800-20-0887-1(AR 2.5)"</f>
        <v>F800-20-0887-1(AR 2.5)</v>
      </c>
      <c r="E1238" s="3" t="str">
        <f>"Froggy eats out"</f>
        <v>Froggy eats out</v>
      </c>
      <c r="F1238" s="3" t="str">
        <f>"by Jonathan London ; illustrated by Frank Remkiewicz"</f>
        <v>by Jonathan London ; illustrated by Frank Remkiewicz</v>
      </c>
      <c r="G1238" s="3" t="str">
        <f>"Puffin Books"</f>
        <v>Puffin Books</v>
      </c>
      <c r="H1238" s="2" t="str">
        <f>"2003"</f>
        <v>2003</v>
      </c>
      <c r="I1238" s="3" t="str">
        <f>""</f>
        <v/>
      </c>
    </row>
    <row r="1239" spans="1:9" x14ac:dyDescent="0.3">
      <c r="A1239" s="2">
        <v>1238</v>
      </c>
      <c r="B1239" s="4" t="s">
        <v>26</v>
      </c>
      <c r="C1239" s="3" t="str">
        <f>"TFC000000821"</f>
        <v>TFC000000821</v>
      </c>
      <c r="D1239" s="3" t="str">
        <f>"F800-20-0900-1(AR 2.5)"</f>
        <v>F800-20-0900-1(AR 2.5)</v>
      </c>
      <c r="E1239" s="3" t="str">
        <f>"Dog man unleashed"</f>
        <v>Dog man unleashed</v>
      </c>
      <c r="F1239" s="3" t="str">
        <f>"written and illustrated by Dav Pilkey"</f>
        <v>written and illustrated by Dav Pilkey</v>
      </c>
      <c r="G1239" s="3" t="str">
        <f>"Graphix"</f>
        <v>Graphix</v>
      </c>
      <c r="H1239" s="2" t="str">
        <f>"2017"</f>
        <v>2017</v>
      </c>
      <c r="I1239" s="3" t="str">
        <f>""</f>
        <v/>
      </c>
    </row>
    <row r="1240" spans="1:9" x14ac:dyDescent="0.3">
      <c r="A1240" s="2">
        <v>1239</v>
      </c>
      <c r="B1240" s="4" t="s">
        <v>26</v>
      </c>
      <c r="C1240" s="3" t="str">
        <f>"TFC000000829"</f>
        <v>TFC000000829</v>
      </c>
      <c r="D1240" s="3" t="str">
        <f>"F800-20-0908-1(AR 2.5)"</f>
        <v>F800-20-0908-1(AR 2.5)</v>
      </c>
      <c r="E1240" s="3" t="str">
        <f>"Henry and Mudge and the big sleepover : the twenty-eighth book of their adventures"</f>
        <v>Henry and Mudge and the big sleepover : the twenty-eighth book of their adventures</v>
      </c>
      <c r="F1240" s="3" t="str">
        <f>"by Cynthia Rylant ; illustrated by Suc?ie Stevenson"</f>
        <v>by Cynthia Rylant ; illustrated by Suc?ie Stevenson</v>
      </c>
      <c r="G1240" s="3" t="str">
        <f>"Simon Spotlight"</f>
        <v>Simon Spotlight</v>
      </c>
      <c r="H1240" s="2" t="str">
        <f>"2007"</f>
        <v>2007</v>
      </c>
      <c r="I1240" s="3" t="str">
        <f>""</f>
        <v/>
      </c>
    </row>
    <row r="1241" spans="1:9" x14ac:dyDescent="0.3">
      <c r="A1241" s="2">
        <v>1240</v>
      </c>
      <c r="B1241" s="4" t="s">
        <v>26</v>
      </c>
      <c r="C1241" s="3" t="str">
        <f>"TFC000004039"</f>
        <v>TFC000004039</v>
      </c>
      <c r="D1241" s="3" t="str">
        <f>"F800-21-0288-10(AR 2.5)"</f>
        <v>F800-21-0288-10(AR 2.5)</v>
      </c>
      <c r="E1241" s="3" t="str">
        <f>"(The)Baby-sitters Club. 10, Kristy and the snobs"</f>
        <v>(The)Baby-sitters Club. 10, Kristy and the snobs</v>
      </c>
      <c r="F1241" s="3" t="str">
        <f>"by Ann M. Martin, a graphic novel by Gale Galligan, with color by Braden Lamb"</f>
        <v>by Ann M. Martin, a graphic novel by Gale Galligan, with color by Braden Lamb</v>
      </c>
      <c r="G1241" s="3" t="str">
        <f>"Graphix"</f>
        <v>Graphix</v>
      </c>
      <c r="H1241" s="2" t="str">
        <f>"2019"</f>
        <v>2019</v>
      </c>
      <c r="I1241" s="3" t="str">
        <f>""</f>
        <v/>
      </c>
    </row>
    <row r="1242" spans="1:9" x14ac:dyDescent="0.3">
      <c r="A1242" s="2">
        <v>1241</v>
      </c>
      <c r="B1242" s="4">
        <v>2.5</v>
      </c>
      <c r="C1242" s="3" t="str">
        <f>"TFC000004302"</f>
        <v>TFC000004302</v>
      </c>
      <c r="D1242" s="3" t="str">
        <f>"F800-22-0008-14(AR 2.5)"</f>
        <v>F800-22-0008-14(AR 2.5)</v>
      </c>
      <c r="E1242" s="3" t="str">
        <f>"(The)Bad Guys. 14, They're bee-hind you!"</f>
        <v>(The)Bad Guys. 14, They're bee-hind you!</v>
      </c>
      <c r="F1242" s="3" t="str">
        <f>"by Aaron Blabey"</f>
        <v>by Aaron Blabey</v>
      </c>
      <c r="G1242" s="3" t="str">
        <f>"Scholastic"</f>
        <v>Scholastic</v>
      </c>
      <c r="H1242" s="2" t="str">
        <f>"2019"</f>
        <v>2019</v>
      </c>
      <c r="I1242" s="3" t="str">
        <f>""</f>
        <v/>
      </c>
    </row>
    <row r="1243" spans="1:9" x14ac:dyDescent="0.3">
      <c r="A1243" s="2">
        <v>1242</v>
      </c>
      <c r="B1243" s="4">
        <v>2.5</v>
      </c>
      <c r="C1243" s="3" t="str">
        <f>"TFC000000797"</f>
        <v>TFC000000797</v>
      </c>
      <c r="D1243" s="3" t="str">
        <f>"F800-20-0876-2(AR 2.5)"</f>
        <v>F800-20-0876-2(AR 2.5)</v>
      </c>
      <c r="E1243" s="3" t="str">
        <f>"Iris and Walter and the birthday party"</f>
        <v>Iris and Walter and the birthday party</v>
      </c>
      <c r="F1243" s="3" t="str">
        <f>"written by Elissa Haden Guest ; illustrated by Christine Davenier"</f>
        <v>written by Elissa Haden Guest ; illustrated by Christine Davenier</v>
      </c>
      <c r="G1243" s="3" t="str">
        <f>"Houghton Mifflin Harcourt"</f>
        <v>Houghton Mifflin Harcourt</v>
      </c>
      <c r="H1243" s="2" t="str">
        <f>"2013"</f>
        <v>2013</v>
      </c>
      <c r="I1243" s="3" t="str">
        <f>""</f>
        <v/>
      </c>
    </row>
    <row r="1244" spans="1:9" x14ac:dyDescent="0.3">
      <c r="A1244" s="2">
        <v>1243</v>
      </c>
      <c r="B1244" s="4">
        <v>2.5</v>
      </c>
      <c r="C1244" s="3" t="str">
        <f>"TFC000000809"</f>
        <v>TFC000000809</v>
      </c>
      <c r="D1244" s="3" t="str">
        <f>"F800-20-0888-2(AR 2.5)"</f>
        <v>F800-20-0888-2(AR 2.5)</v>
      </c>
      <c r="E1244" s="3" t="str">
        <f>"Froggy goes to camp"</f>
        <v>Froggy goes to camp</v>
      </c>
      <c r="F1244" s="3" t="str">
        <f>"by Jonathan London ; illustrated by Frank Remkiewicz"</f>
        <v>by Jonathan London ; illustrated by Frank Remkiewicz</v>
      </c>
      <c r="G1244" s="3" t="str">
        <f>"Puffin books"</f>
        <v>Puffin books</v>
      </c>
      <c r="H1244" s="2" t="str">
        <f>"2010"</f>
        <v>2010</v>
      </c>
      <c r="I1244" s="3" t="str">
        <f>""</f>
        <v/>
      </c>
    </row>
    <row r="1245" spans="1:9" x14ac:dyDescent="0.3">
      <c r="A1245" s="2">
        <v>1244</v>
      </c>
      <c r="B1245" s="4">
        <v>2.5</v>
      </c>
      <c r="C1245" s="3" t="str">
        <f>"TFC000000822"</f>
        <v>TFC000000822</v>
      </c>
      <c r="D1245" s="3" t="str">
        <f>"F800-20-0901-2(AR 2.5)"</f>
        <v>F800-20-0901-2(AR 2.5)</v>
      </c>
      <c r="E1245" s="3" t="str">
        <f>"Dog man for whom the ball rolls"</f>
        <v>Dog man for whom the ball rolls</v>
      </c>
      <c r="F1245" s="3" t="str">
        <f>"written and illuatrated by Dav Pilkey"</f>
        <v>written and illuatrated by Dav Pilkey</v>
      </c>
      <c r="G1245" s="3" t="str">
        <f>"Graphix"</f>
        <v>Graphix</v>
      </c>
      <c r="H1245" s="2" t="str">
        <f>"2019"</f>
        <v>2019</v>
      </c>
      <c r="I1245" s="3" t="str">
        <f>""</f>
        <v/>
      </c>
    </row>
    <row r="1246" spans="1:9" x14ac:dyDescent="0.3">
      <c r="A1246" s="2">
        <v>1245</v>
      </c>
      <c r="B1246" s="4">
        <v>2.5</v>
      </c>
      <c r="C1246" s="3" t="str">
        <f>"TFC000000830"</f>
        <v>TFC000000830</v>
      </c>
      <c r="D1246" s="3" t="str">
        <f>"F800-20-0909-2(AR 2.5)"</f>
        <v>F800-20-0909-2(AR 2.5)</v>
      </c>
      <c r="E1246" s="3" t="str">
        <f>"Henry and Mudge and the forever sea : the sixth book of their adventures"</f>
        <v>Henry and Mudge and the forever sea : the sixth book of their adventures</v>
      </c>
      <c r="F1246" s="3" t="str">
        <f>"story by Cynthia Rylant ; pictures by Suc?ie Stevenson"</f>
        <v>story by Cynthia Rylant ; pictures by Suc?ie Stevenson</v>
      </c>
      <c r="G1246" s="3" t="str">
        <f>"Simon Spotlight"</f>
        <v>Simon Spotlight</v>
      </c>
      <c r="H1246" s="2" t="str">
        <f>"1993"</f>
        <v>1993</v>
      </c>
      <c r="I1246" s="3" t="str">
        <f>""</f>
        <v/>
      </c>
    </row>
    <row r="1247" spans="1:9" x14ac:dyDescent="0.3">
      <c r="A1247" s="2">
        <v>1246</v>
      </c>
      <c r="B1247" s="4">
        <v>2.5</v>
      </c>
      <c r="C1247" s="3" t="str">
        <f>"TFC000004038"</f>
        <v>TFC000004038</v>
      </c>
      <c r="D1247" s="3" t="str">
        <f>"F800-21-0287-2(AR 2.5)"</f>
        <v>F800-21-0287-2(AR 2.5)</v>
      </c>
      <c r="E1247" s="3" t="str">
        <f>"Stranger things"</f>
        <v>Stranger things</v>
      </c>
      <c r="F1247" s="3" t="str">
        <f>"by Jody Houser, illustrated by Keith Champagne, Edgar Salazar"</f>
        <v>by Jody Houser, illustrated by Keith Champagne, Edgar Salazar</v>
      </c>
      <c r="G1247" s="3" t="str">
        <f>"Spotlight"</f>
        <v>Spotlight</v>
      </c>
      <c r="H1247" s="2" t="str">
        <f>"2021"</f>
        <v>2021</v>
      </c>
      <c r="I1247" s="3" t="str">
        <f>""</f>
        <v/>
      </c>
    </row>
    <row r="1248" spans="1:9" x14ac:dyDescent="0.3">
      <c r="A1248" s="2">
        <v>1247</v>
      </c>
      <c r="B1248" s="4">
        <v>2.5</v>
      </c>
      <c r="C1248" s="3" t="str">
        <f>"TFC000003920"</f>
        <v>TFC000003920</v>
      </c>
      <c r="D1248" s="3" t="str">
        <f>"F800-21-0285-2(AR 2.5)"</f>
        <v>F800-21-0285-2(AR 2.5)</v>
      </c>
      <c r="E1248" s="3" t="str">
        <f>"Hilo. 2, Saving the Whole Wide World"</f>
        <v>Hilo. 2, Saving the Whole Wide World</v>
      </c>
      <c r="F1248" s="3" t="str">
        <f>"by Judd Winick, color by Guy Major"</f>
        <v>by Judd Winick, color by Guy Major</v>
      </c>
      <c r="G1248" s="3" t="str">
        <f>"Random House"</f>
        <v>Random House</v>
      </c>
      <c r="H1248" s="2" t="str">
        <f>"2016"</f>
        <v>2016</v>
      </c>
      <c r="I1248" s="3" t="str">
        <f>""</f>
        <v/>
      </c>
    </row>
    <row r="1249" spans="1:9" x14ac:dyDescent="0.3">
      <c r="A1249" s="2">
        <v>1248</v>
      </c>
      <c r="B1249" s="4">
        <v>2.5</v>
      </c>
      <c r="C1249" s="3" t="str">
        <f>"TFC000000810"</f>
        <v>TFC000000810</v>
      </c>
      <c r="D1249" s="3" t="str">
        <f>"F800-20-0889-3(AR 2.5)"</f>
        <v>F800-20-0889-3(AR 2.5)</v>
      </c>
      <c r="E1249" s="3" t="str">
        <f>"Froggy goes to the doctor"</f>
        <v>Froggy goes to the doctor</v>
      </c>
      <c r="F1249" s="3" t="str">
        <f>"by Jonathan London ; illustrated by Frank Remkiewicz"</f>
        <v>by Jonathan London ; illustrated by Frank Remkiewicz</v>
      </c>
      <c r="G1249" s="3" t="str">
        <f>"Puffin Books"</f>
        <v>Puffin Books</v>
      </c>
      <c r="H1249" s="2" t="str">
        <f>"2002"</f>
        <v>2002</v>
      </c>
      <c r="I1249" s="3" t="str">
        <f>""</f>
        <v/>
      </c>
    </row>
    <row r="1250" spans="1:9" x14ac:dyDescent="0.3">
      <c r="A1250" s="2">
        <v>1249</v>
      </c>
      <c r="B1250" s="4">
        <v>2.5</v>
      </c>
      <c r="C1250" s="3" t="str">
        <f>"TFC000000831"</f>
        <v>TFC000000831</v>
      </c>
      <c r="D1250" s="3" t="str">
        <f>"F800-20-0910-3(AR 2.5)"</f>
        <v>F800-20-0910-3(AR 2.5)</v>
      </c>
      <c r="E1250" s="3" t="str">
        <f>"Henry and Mudge and the sneaky crackers : the sixteenth book of their adventures"</f>
        <v>Henry and Mudge and the sneaky crackers : the sixteenth book of their adventures</v>
      </c>
      <c r="F1250" s="3" t="str">
        <f>"story by Cynthia Rylant ; pictures by Suc?ie Stevenson"</f>
        <v>story by Cynthia Rylant ; pictures by Suc?ie Stevenson</v>
      </c>
      <c r="G1250" s="3" t="str">
        <f>"Simon Spotlight"</f>
        <v>Simon Spotlight</v>
      </c>
      <c r="H1250" s="2" t="str">
        <f>"1999"</f>
        <v>1999</v>
      </c>
      <c r="I1250" s="3" t="str">
        <f>""</f>
        <v/>
      </c>
    </row>
    <row r="1251" spans="1:9" x14ac:dyDescent="0.3">
      <c r="A1251" s="2">
        <v>1250</v>
      </c>
      <c r="B1251" s="4">
        <v>2.5</v>
      </c>
      <c r="C1251" s="3" t="str">
        <f>"TFC000000834"</f>
        <v>TFC000000834</v>
      </c>
      <c r="D1251" s="3" t="str">
        <f>"F800-20-0913-3(AR 2.5)"</f>
        <v>F800-20-0913-3(AR 2.5)</v>
      </c>
      <c r="E1251" s="3" t="str">
        <f>"Mr. Putter &amp; Tabby make a wish"</f>
        <v>Mr. Putter &amp; Tabby make a wish</v>
      </c>
      <c r="F1251" s="3" t="str">
        <f>"by Cynthia Rylant ; illustrated by Arthur Howard"</f>
        <v>by Cynthia Rylant ; illustrated by Arthur Howard</v>
      </c>
      <c r="G1251" s="3" t="str">
        <f>"Harcourt Mifflin Harcourt"</f>
        <v>Harcourt Mifflin Harcourt</v>
      </c>
      <c r="H1251" s="2" t="str">
        <f>"2005"</f>
        <v>2005</v>
      </c>
      <c r="I1251" s="3" t="str">
        <f>""</f>
        <v/>
      </c>
    </row>
    <row r="1252" spans="1:9" x14ac:dyDescent="0.3">
      <c r="A1252" s="2">
        <v>1251</v>
      </c>
      <c r="B1252" s="4">
        <v>2.5</v>
      </c>
      <c r="C1252" s="3" t="str">
        <f>"TFC000003861"</f>
        <v>TFC000003861</v>
      </c>
      <c r="D1252" s="3" t="str">
        <f>"F800-21-0282-3(AR 2.5)"</f>
        <v>F800-21-0282-3(AR 2.5)</v>
      </c>
      <c r="E1252" s="3" t="str">
        <f>"(The)Bad Guys. 3, The furball strikes back"</f>
        <v>(The)Bad Guys. 3, The furball strikes back</v>
      </c>
      <c r="F1252" s="3" t="str">
        <f>"by Aaron Blabey"</f>
        <v>by Aaron Blabey</v>
      </c>
      <c r="G1252" s="3" t="str">
        <f>"Scholastic"</f>
        <v>Scholastic</v>
      </c>
      <c r="H1252" s="2" t="str">
        <f>"2020"</f>
        <v>2020</v>
      </c>
      <c r="I1252" s="3" t="str">
        <f>""</f>
        <v/>
      </c>
    </row>
    <row r="1253" spans="1:9" x14ac:dyDescent="0.3">
      <c r="A1253" s="2">
        <v>1252</v>
      </c>
      <c r="B1253" s="4">
        <v>2.5</v>
      </c>
      <c r="C1253" s="3" t="str">
        <f>"TFC000003919"</f>
        <v>TFC000003919</v>
      </c>
      <c r="D1253" s="3" t="str">
        <f>"F800-21-0284-3(AR 2.5)"</f>
        <v>F800-21-0284-3(AR 2.5)</v>
      </c>
      <c r="E1253" s="3" t="str">
        <f>"Hilo. 3, Great Big Boom"</f>
        <v>Hilo. 3, Great Big Boom</v>
      </c>
      <c r="F1253" s="3" t="str">
        <f>"by Judd Winick, color by Guy Major"</f>
        <v>by Judd Winick, color by Guy Major</v>
      </c>
      <c r="G1253" s="3" t="str">
        <f>"Random House"</f>
        <v>Random House</v>
      </c>
      <c r="H1253" s="2" t="str">
        <f>"2017"</f>
        <v>2017</v>
      </c>
      <c r="I1253" s="3" t="str">
        <f>""</f>
        <v/>
      </c>
    </row>
    <row r="1254" spans="1:9" x14ac:dyDescent="0.3">
      <c r="A1254" s="2">
        <v>1253</v>
      </c>
      <c r="B1254" s="4">
        <v>2.5</v>
      </c>
      <c r="C1254" s="3" t="str">
        <f>"TFC000000811"</f>
        <v>TFC000000811</v>
      </c>
      <c r="D1254" s="3" t="str">
        <f>"F800-20-0890-4(AR 2.5)"</f>
        <v>F800-20-0890-4(AR 2.5)</v>
      </c>
      <c r="E1254" s="3" t="str">
        <f>"Froggy's best babysistter"</f>
        <v>Froggy's best babysistter</v>
      </c>
      <c r="F1254" s="3" t="str">
        <f>"by Jonathan London ; illustrated by Frank Remkiewicz"</f>
        <v>by Jonathan London ; illustrated by Frank Remkiewicz</v>
      </c>
      <c r="G1254" s="3" t="str">
        <f>"Puffin books"</f>
        <v>Puffin books</v>
      </c>
      <c r="H1254" s="2" t="str">
        <f>"2011"</f>
        <v>2011</v>
      </c>
      <c r="I1254" s="3" t="str">
        <f>""</f>
        <v/>
      </c>
    </row>
    <row r="1255" spans="1:9" x14ac:dyDescent="0.3">
      <c r="A1255" s="2">
        <v>1254</v>
      </c>
      <c r="B1255" s="4">
        <v>2.5</v>
      </c>
      <c r="C1255" s="3" t="str">
        <f>"TFC000000832"</f>
        <v>TFC000000832</v>
      </c>
      <c r="D1255" s="3" t="str">
        <f>"F800-20-0911-4(AR 2.5)"</f>
        <v>F800-20-0911-4(AR 2.5)</v>
      </c>
      <c r="E1255" s="3" t="str">
        <f>"Henry and Mudge and the snowman plan : the nineteenth book of their adventures"</f>
        <v>Henry and Mudge and the snowman plan : the nineteenth book of their adventures</v>
      </c>
      <c r="F1255" s="3" t="str">
        <f>"story by Cynthia Rylant ; pictures by Suc?ie Stevenson"</f>
        <v>story by Cynthia Rylant ; pictures by Suc?ie Stevenson</v>
      </c>
      <c r="G1255" s="3" t="str">
        <f>"Simon Spotlight"</f>
        <v>Simon Spotlight</v>
      </c>
      <c r="H1255" s="2" t="str">
        <f>"2000"</f>
        <v>2000</v>
      </c>
      <c r="I1255" s="3" t="str">
        <f>""</f>
        <v/>
      </c>
    </row>
    <row r="1256" spans="1:9" x14ac:dyDescent="0.3">
      <c r="A1256" s="2">
        <v>1255</v>
      </c>
      <c r="B1256" s="4">
        <v>2.5</v>
      </c>
      <c r="C1256" s="3" t="str">
        <f>"TFC000003862"</f>
        <v>TFC000003862</v>
      </c>
      <c r="D1256" s="3" t="str">
        <f>"F800-21-0283-4(AR 2.5)"</f>
        <v>F800-21-0283-4(AR 2.5)</v>
      </c>
      <c r="E1256" s="3" t="str">
        <f>"(The)Bad Guys. 4, Attack of the zittens"</f>
        <v>(The)Bad Guys. 4, Attack of the zittens</v>
      </c>
      <c r="F1256" s="3" t="str">
        <f>"by Aaron Blabey"</f>
        <v>by Aaron Blabey</v>
      </c>
      <c r="G1256" s="3" t="str">
        <f>"Scholastic"</f>
        <v>Scholastic</v>
      </c>
      <c r="H1256" s="2" t="str">
        <f>"2020"</f>
        <v>2020</v>
      </c>
      <c r="I1256" s="3" t="str">
        <f>""</f>
        <v/>
      </c>
    </row>
    <row r="1257" spans="1:9" x14ac:dyDescent="0.3">
      <c r="A1257" s="2">
        <v>1256</v>
      </c>
      <c r="B1257" s="4">
        <v>2.5</v>
      </c>
      <c r="C1257" s="3" t="str">
        <f>"TFC000003976"</f>
        <v>TFC000003976</v>
      </c>
      <c r="D1257" s="3" t="str">
        <f>"F800-21-0286-4(AR 2.5)"</f>
        <v>F800-21-0286-4(AR 2.5)</v>
      </c>
      <c r="E1257" s="3" t="str">
        <f>"(The)Baby-sitters Club. 4 : a graphic novel, Claudia and mean Janine"</f>
        <v>(The)Baby-sitters Club. 4 : a graphic novel, Claudia and mean Janine</v>
      </c>
      <c r="F1257" s="3" t="str">
        <f>"by Raina Telgemeier, with color by Braden Lamb"</f>
        <v>by Raina Telgemeier, with color by Braden Lamb</v>
      </c>
      <c r="G1257" s="3" t="str">
        <f>"Graphix"</f>
        <v>Graphix</v>
      </c>
      <c r="H1257" s="2" t="str">
        <f>"2016"</f>
        <v>2016</v>
      </c>
      <c r="I1257" s="3" t="str">
        <f>""</f>
        <v/>
      </c>
    </row>
    <row r="1258" spans="1:9" x14ac:dyDescent="0.3">
      <c r="A1258" s="2">
        <v>1257</v>
      </c>
      <c r="B1258" s="4">
        <v>2.5</v>
      </c>
      <c r="C1258" s="3" t="str">
        <f>"TFC000004148"</f>
        <v>TFC000004148</v>
      </c>
      <c r="D1258" s="3" t="str">
        <f>"F800-21-0291-4(AR 2.5)"</f>
        <v>F800-21-0291-4(AR 2.5)</v>
      </c>
      <c r="E1258" s="3" t="str">
        <f>"Super Rabbit Boy VS. Super Rabbit Boss!"</f>
        <v>Super Rabbit Boy VS. Super Rabbit Boss!</v>
      </c>
      <c r="F1258" s="3" t="str">
        <f>"by Thomas Flintham"</f>
        <v>by Thomas Flintham</v>
      </c>
      <c r="G1258" s="3" t="str">
        <f>"Branches:Scholastic Inc."</f>
        <v>Branches:Scholastic Inc.</v>
      </c>
      <c r="H1258" s="2" t="str">
        <f>"2018"</f>
        <v>2018</v>
      </c>
      <c r="I1258" s="3" t="str">
        <f>""</f>
        <v/>
      </c>
    </row>
    <row r="1259" spans="1:9" x14ac:dyDescent="0.3">
      <c r="A1259" s="2">
        <v>1258</v>
      </c>
      <c r="B1259" s="4">
        <v>2.5</v>
      </c>
      <c r="C1259" s="3" t="str">
        <f>"TFC000000779"</f>
        <v>TFC000000779</v>
      </c>
      <c r="D1259" s="3" t="str">
        <f>"F800-20-0859-5(AR 2.5)"</f>
        <v>F800-20-0859-5(AR 2.5)</v>
      </c>
      <c r="E1259" s="3" t="str">
        <f>"(The)bad guys. 5, in intergalactic gas"</f>
        <v>(The)bad guys. 5, in intergalactic gas</v>
      </c>
      <c r="F1259" s="3" t="str">
        <f>"Aaron Blabey"</f>
        <v>Aaron Blabey</v>
      </c>
      <c r="G1259" s="3" t="str">
        <f>"Scholastic"</f>
        <v>Scholastic</v>
      </c>
      <c r="H1259" s="2" t="str">
        <f>"2017"</f>
        <v>2017</v>
      </c>
      <c r="I1259" s="3" t="str">
        <f>""</f>
        <v/>
      </c>
    </row>
    <row r="1260" spans="1:9" x14ac:dyDescent="0.3">
      <c r="A1260" s="2">
        <v>1259</v>
      </c>
      <c r="B1260" s="4">
        <v>2.5</v>
      </c>
      <c r="C1260" s="3" t="str">
        <f>"TFC000000833"</f>
        <v>TFC000000833</v>
      </c>
      <c r="D1260" s="3" t="str">
        <f>"F800-20-0912-5(AR 2.5)"</f>
        <v>F800-20-0912-5(AR 2.5)</v>
      </c>
      <c r="E1260" s="3" t="str">
        <f>"Henry and Mudge in puddle trouble : the second book of their adventures"</f>
        <v>Henry and Mudge in puddle trouble : the second book of their adventures</v>
      </c>
      <c r="F1260" s="3" t="str">
        <f>"story by Cynthia Rylant ; pictures by Suc?ie Stevenson"</f>
        <v>story by Cynthia Rylant ; pictures by Suc?ie Stevenson</v>
      </c>
      <c r="G1260" s="3" t="str">
        <f>"Simon Spotlight"</f>
        <v>Simon Spotlight</v>
      </c>
      <c r="H1260" s="2" t="str">
        <f>"1990"</f>
        <v>1990</v>
      </c>
      <c r="I1260" s="3" t="str">
        <f>""</f>
        <v/>
      </c>
    </row>
    <row r="1261" spans="1:9" x14ac:dyDescent="0.3">
      <c r="A1261" s="2">
        <v>1260</v>
      </c>
      <c r="B1261" s="4" t="s">
        <v>26</v>
      </c>
      <c r="C1261" s="3" t="str">
        <f>"TFC000003811"</f>
        <v>TFC000003811</v>
      </c>
      <c r="D1261" s="3" t="str">
        <f>"F800-21-0279-9(AR 2.5)"</f>
        <v>F800-21-0279-9(AR 2.5)</v>
      </c>
      <c r="E1261" s="3" t="str">
        <f>"Dog man grime and Punishment"</f>
        <v>Dog man grime and Punishment</v>
      </c>
      <c r="F1261" s="3" t="str">
        <f>"written and illustrated by Dave Pilkey as George Beard and Harold Hutchins, with color by Jose Garibaldi"</f>
        <v>written and illustrated by Dave Pilkey as George Beard and Harold Hutchins, with color by Jose Garibaldi</v>
      </c>
      <c r="G1261" s="3" t="str">
        <f>"Graphix, an imprint of Scholastic"</f>
        <v>Graphix, an imprint of Scholastic</v>
      </c>
      <c r="H1261" s="2" t="str">
        <f>"2020"</f>
        <v>2020</v>
      </c>
      <c r="I1261" s="3" t="str">
        <f>""</f>
        <v/>
      </c>
    </row>
    <row r="1262" spans="1:9" x14ac:dyDescent="0.3">
      <c r="A1262" s="2">
        <v>1261</v>
      </c>
      <c r="B1262" s="4" t="s">
        <v>27</v>
      </c>
      <c r="C1262" s="3" t="str">
        <f>"TFC000000910"</f>
        <v>TFC000000910</v>
      </c>
      <c r="D1262" s="3" t="str">
        <f>"F800-20-0997-(AR 2.6)"</f>
        <v>F800-20-0997-(AR 2.6)</v>
      </c>
      <c r="E1262" s="3" t="str">
        <f>"Junie B. Jones smells something fishy"</f>
        <v>Junie B. Jones smells something fishy</v>
      </c>
      <c r="F1262" s="3" t="str">
        <f>"by Barbara Park ; illustrated by Denise Brunkus"</f>
        <v>by Barbara Park ; illustrated by Denise Brunkus</v>
      </c>
      <c r="G1262" s="3" t="str">
        <f>"Random house"</f>
        <v>Random house</v>
      </c>
      <c r="H1262" s="2" t="str">
        <f>"1998"</f>
        <v>1998</v>
      </c>
      <c r="I1262" s="2" t="s">
        <v>2</v>
      </c>
    </row>
    <row r="1263" spans="1:9" x14ac:dyDescent="0.3">
      <c r="A1263" s="2">
        <v>1262</v>
      </c>
      <c r="B1263" s="4" t="s">
        <v>27</v>
      </c>
      <c r="C1263" s="3" t="str">
        <f>"TFC000000911"</f>
        <v>TFC000000911</v>
      </c>
      <c r="D1263" s="3" t="str">
        <f>"F800-20-0998-(AR 2.6)"</f>
        <v>F800-20-0998-(AR 2.6)</v>
      </c>
      <c r="E1263" s="3" t="str">
        <f>"Junie B., first grader(at last!)"</f>
        <v>Junie B., first grader(at last!)</v>
      </c>
      <c r="F1263" s="3" t="str">
        <f>"by Barbara Park ; illustrated by Denise Brunkus"</f>
        <v>by Barbara Park ; illustrated by Denise Brunkus</v>
      </c>
      <c r="G1263" s="3" t="str">
        <f>"Random house"</f>
        <v>Random house</v>
      </c>
      <c r="H1263" s="2" t="str">
        <f>"2001"</f>
        <v>2001</v>
      </c>
      <c r="I1263" s="2" t="s">
        <v>2</v>
      </c>
    </row>
    <row r="1264" spans="1:9" x14ac:dyDescent="0.3">
      <c r="A1264" s="2">
        <v>1263</v>
      </c>
      <c r="B1264" s="4" t="s">
        <v>27</v>
      </c>
      <c r="C1264" s="3" t="str">
        <f>"TFC000000843"</f>
        <v>TFC000000843</v>
      </c>
      <c r="D1264" s="3" t="str">
        <f>"F400-20-0929-(AR 2.6)"</f>
        <v>F400-20-0929-(AR 2.6)</v>
      </c>
      <c r="E1264" s="3" t="str">
        <f>"Air Is all around you"</f>
        <v>Air Is all around you</v>
      </c>
      <c r="F1264" s="3" t="str">
        <f>"by Franklyn M. Branley ; illustrated by John O'Brien"</f>
        <v>by Franklyn M. Branley ; illustrated by John O'Brien</v>
      </c>
      <c r="G1264" s="3" t="str">
        <f>"HarperCollins Publishers"</f>
        <v>HarperCollins Publishers</v>
      </c>
      <c r="H1264" s="2" t="str">
        <f>"2006"</f>
        <v>2006</v>
      </c>
      <c r="I1264" s="3" t="str">
        <f>""</f>
        <v/>
      </c>
    </row>
    <row r="1265" spans="1:9" x14ac:dyDescent="0.3">
      <c r="A1265" s="2">
        <v>1264</v>
      </c>
      <c r="B1265" s="4" t="s">
        <v>27</v>
      </c>
      <c r="C1265" s="3" t="str">
        <f>"TFC000000844"</f>
        <v>TFC000000844</v>
      </c>
      <c r="D1265" s="3" t="str">
        <f>"F400-20-0930-(AR 2.6)"</f>
        <v>F400-20-0930-(AR 2.6)</v>
      </c>
      <c r="E1265" s="3" t="str">
        <f>"Over in the meadow"</f>
        <v>Over in the meadow</v>
      </c>
      <c r="F1265" s="3" t="str">
        <f>"John Langstaff ; with pictures by Feodor Rojankovsky"</f>
        <v>John Langstaff ; with pictures by Feodor Rojankovsky</v>
      </c>
      <c r="G1265" s="3" t="str">
        <f>"Voyager Books"</f>
        <v>Voyager Books</v>
      </c>
      <c r="H1265" s="2" t="str">
        <f>"1985"</f>
        <v>1985</v>
      </c>
      <c r="I1265" s="3" t="str">
        <f>""</f>
        <v/>
      </c>
    </row>
    <row r="1266" spans="1:9" x14ac:dyDescent="0.3">
      <c r="A1266" s="2">
        <v>1265</v>
      </c>
      <c r="B1266" s="4" t="s">
        <v>27</v>
      </c>
      <c r="C1266" s="3" t="str">
        <f>"TFC000000845"</f>
        <v>TFC000000845</v>
      </c>
      <c r="D1266" s="3" t="str">
        <f>"F500-20-0932-(AR 2.6)"</f>
        <v>F500-20-0932-(AR 2.6)</v>
      </c>
      <c r="E1266" s="3" t="str">
        <f>"Sleep is for everyone"</f>
        <v>Sleep is for everyone</v>
      </c>
      <c r="F1266" s="3" t="str">
        <f>"by Paul Showers ; illustrated by Wendy Watson"</f>
        <v>by Paul Showers ; illustrated by Wendy Watson</v>
      </c>
      <c r="G1266" s="3" t="str">
        <f>"HarperCollins Publishers"</f>
        <v>HarperCollins Publishers</v>
      </c>
      <c r="H1266" s="2" t="str">
        <f>"1997"</f>
        <v>1997</v>
      </c>
      <c r="I1266" s="3" t="str">
        <f>""</f>
        <v/>
      </c>
    </row>
    <row r="1267" spans="1:9" x14ac:dyDescent="0.3">
      <c r="A1267" s="2">
        <v>1266</v>
      </c>
      <c r="B1267" s="4" t="s">
        <v>27</v>
      </c>
      <c r="C1267" s="3" t="str">
        <f>"TFC000000846"</f>
        <v>TFC000000846</v>
      </c>
      <c r="D1267" s="3" t="str">
        <f>"F800-20-0933-(AR 2.6)"</f>
        <v>F800-20-0933-(AR 2.6)</v>
      </c>
      <c r="E1267" s="3" t="str">
        <f>"(The)undefeated"</f>
        <v>(The)undefeated</v>
      </c>
      <c r="F1267" s="3" t="str">
        <f>"by Kwame Alexander ; illustrated by Kadir Nelson"</f>
        <v>by Kwame Alexander ; illustrated by Kadir Nelson</v>
      </c>
      <c r="G1267" s="3" t="str">
        <f>"Versify"</f>
        <v>Versify</v>
      </c>
      <c r="H1267" s="2" t="str">
        <f>"2019"</f>
        <v>2019</v>
      </c>
      <c r="I1267" s="3" t="str">
        <f>""</f>
        <v/>
      </c>
    </row>
    <row r="1268" spans="1:9" x14ac:dyDescent="0.3">
      <c r="A1268" s="2">
        <v>1267</v>
      </c>
      <c r="B1268" s="4" t="s">
        <v>27</v>
      </c>
      <c r="C1268" s="3" t="str">
        <f>"TFC000000847"</f>
        <v>TFC000000847</v>
      </c>
      <c r="D1268" s="3" t="str">
        <f>"F800-20-0934-(AR 2.6)"</f>
        <v>F800-20-0934-(AR 2.6)</v>
      </c>
      <c r="E1268" s="3" t="str">
        <f>"Rollo and tweedy and the ghost at dougal castle"</f>
        <v>Rollo and tweedy and the ghost at dougal castle</v>
      </c>
      <c r="F1268" s="3" t="str">
        <f>"Story and pictures by Laura Jean Allen"</f>
        <v>Story and pictures by Laura Jean Allen</v>
      </c>
      <c r="G1268" s="3" t="str">
        <f>"HarperTrophy:Moonjin Media"</f>
        <v>HarperTrophy:Moonjin Media</v>
      </c>
      <c r="H1268" s="2" t="str">
        <f>"1992"</f>
        <v>1992</v>
      </c>
      <c r="I1268" s="3" t="str">
        <f>""</f>
        <v/>
      </c>
    </row>
    <row r="1269" spans="1:9" x14ac:dyDescent="0.3">
      <c r="A1269" s="2">
        <v>1268</v>
      </c>
      <c r="B1269" s="4" t="s">
        <v>27</v>
      </c>
      <c r="C1269" s="3" t="str">
        <f>"TFC000000848"</f>
        <v>TFC000000848</v>
      </c>
      <c r="D1269" s="3" t="str">
        <f>"F800-20-0935-(AR 2.6)"</f>
        <v>F800-20-0935-(AR 2.6)</v>
      </c>
      <c r="E1269" s="3" t="str">
        <f>"(The)blind men and the elephant"</f>
        <v>(The)blind men and the elephant</v>
      </c>
      <c r="F1269" s="3" t="str">
        <f>"retold by Karen Backstein ; illustrated by Annie Mitra"</f>
        <v>retold by Karen Backstein ; illustrated by Annie Mitra</v>
      </c>
      <c r="G1269" s="3" t="str">
        <f>"Scholastic"</f>
        <v>Scholastic</v>
      </c>
      <c r="H1269" s="2" t="str">
        <f>"1992"</f>
        <v>1992</v>
      </c>
      <c r="I1269" s="3" t="str">
        <f>""</f>
        <v/>
      </c>
    </row>
    <row r="1270" spans="1:9" x14ac:dyDescent="0.3">
      <c r="A1270" s="2">
        <v>1269</v>
      </c>
      <c r="B1270" s="4" t="s">
        <v>27</v>
      </c>
      <c r="C1270" s="3" t="str">
        <f>"TFC000000850"</f>
        <v>TFC000000850</v>
      </c>
      <c r="D1270" s="3" t="str">
        <f>"F800-20-0937-(AR 2.6)"</f>
        <v>F800-20-0937-(AR 2.6)</v>
      </c>
      <c r="E1270" s="3" t="str">
        <f>"Little Gorilla"</f>
        <v>Little Gorilla</v>
      </c>
      <c r="F1270" s="3" t="str">
        <f>"story and pictures by Ruth Bornstein"</f>
        <v>story and pictures by Ruth Bornstein</v>
      </c>
      <c r="G1270" s="3" t="str">
        <f>"Clarion Books"</f>
        <v>Clarion Books</v>
      </c>
      <c r="H1270" s="2" t="str">
        <f>"1976"</f>
        <v>1976</v>
      </c>
      <c r="I1270" s="3" t="str">
        <f>""</f>
        <v/>
      </c>
    </row>
    <row r="1271" spans="1:9" x14ac:dyDescent="0.3">
      <c r="A1271" s="2">
        <v>1270</v>
      </c>
      <c r="B1271" s="4" t="s">
        <v>27</v>
      </c>
      <c r="C1271" s="3" t="str">
        <f>"TFC000000851"</f>
        <v>TFC000000851</v>
      </c>
      <c r="D1271" s="3" t="str">
        <f>"F800-20-0938-(AR 2.6)"</f>
        <v>F800-20-0938-(AR 2.6)</v>
      </c>
      <c r="E1271" s="3" t="str">
        <f>"Abe Lincoln's hat"</f>
        <v>Abe Lincoln's hat</v>
      </c>
      <c r="F1271" s="3" t="str">
        <f>"by Martha Brenner ; illustrated by Donald Cook"</f>
        <v>by Martha Brenner ; illustrated by Donald Cook</v>
      </c>
      <c r="G1271" s="3" t="str">
        <f>"Random House"</f>
        <v>Random House</v>
      </c>
      <c r="H1271" s="2" t="str">
        <f>"1994"</f>
        <v>1994</v>
      </c>
      <c r="I1271" s="3" t="str">
        <f>""</f>
        <v/>
      </c>
    </row>
    <row r="1272" spans="1:9" x14ac:dyDescent="0.3">
      <c r="A1272" s="2">
        <v>1271</v>
      </c>
      <c r="B1272" s="4" t="s">
        <v>27</v>
      </c>
      <c r="C1272" s="3" t="str">
        <f>"TFC000000852"</f>
        <v>TFC000000852</v>
      </c>
      <c r="D1272" s="3" t="str">
        <f>"F800-20-0939-(AR 2.6)"</f>
        <v>F800-20-0939-(AR 2.6)</v>
      </c>
      <c r="E1272" s="3" t="str">
        <f>"Wagon wheels"</f>
        <v>Wagon wheels</v>
      </c>
      <c r="F1272" s="3" t="str">
        <f>"by Barbara Brenner ; pictures by Don Bolognese"</f>
        <v>by Barbara Brenner ; pictures by Don Bolognese</v>
      </c>
      <c r="G1272" s="3" t="str">
        <f>"HarperCollins Publishers"</f>
        <v>HarperCollins Publishers</v>
      </c>
      <c r="H1272" s="2" t="str">
        <f>"1993"</f>
        <v>1993</v>
      </c>
      <c r="I1272" s="3" t="str">
        <f>""</f>
        <v/>
      </c>
    </row>
    <row r="1273" spans="1:9" x14ac:dyDescent="0.3">
      <c r="A1273" s="2">
        <v>1272</v>
      </c>
      <c r="B1273" s="4" t="s">
        <v>27</v>
      </c>
      <c r="C1273" s="3" t="str">
        <f>"TFC000000853"</f>
        <v>TFC000000853</v>
      </c>
      <c r="D1273" s="3" t="str">
        <f>"F800-20-0940-(AR 2.6)"</f>
        <v>F800-20-0940-(AR 2.6)</v>
      </c>
      <c r="E1273" s="3" t="str">
        <f>"(The)big balloon race"</f>
        <v>(The)big balloon race</v>
      </c>
      <c r="F1273" s="3" t="str">
        <f>"story by Eleanor Coerr ; pictures by Carolyn Croll"</f>
        <v>story by Eleanor Coerr ; pictures by Carolyn Croll</v>
      </c>
      <c r="G1273" s="3" t="str">
        <f>"HarperTrophy"</f>
        <v>HarperTrophy</v>
      </c>
      <c r="H1273" s="2" t="str">
        <f>"1992"</f>
        <v>1992</v>
      </c>
      <c r="I1273" s="3" t="str">
        <f>""</f>
        <v/>
      </c>
    </row>
    <row r="1274" spans="1:9" x14ac:dyDescent="0.3">
      <c r="A1274" s="2">
        <v>1273</v>
      </c>
      <c r="B1274" s="4" t="s">
        <v>27</v>
      </c>
      <c r="C1274" s="3" t="str">
        <f>"TFC000000854"</f>
        <v>TFC000000854</v>
      </c>
      <c r="D1274" s="3" t="str">
        <f>"F800-20-0941-(AR 2.6)"</f>
        <v>F800-20-0941-(AR 2.6)</v>
      </c>
      <c r="E1274" s="3" t="str">
        <f>"Planting a rainbow"</f>
        <v>Planting a rainbow</v>
      </c>
      <c r="F1274" s="3" t="str">
        <f>"written and illustrated by Lois Ehlert"</f>
        <v>written and illustrated by Lois Ehlert</v>
      </c>
      <c r="G1274" s="3" t="str">
        <f>"Harcourt Brace Jovanovich"</f>
        <v>Harcourt Brace Jovanovich</v>
      </c>
      <c r="H1274" s="2" t="str">
        <f>"1988"</f>
        <v>1988</v>
      </c>
      <c r="I1274" s="3" t="str">
        <f>""</f>
        <v/>
      </c>
    </row>
    <row r="1275" spans="1:9" x14ac:dyDescent="0.3">
      <c r="A1275" s="2">
        <v>1274</v>
      </c>
      <c r="B1275" s="4" t="s">
        <v>27</v>
      </c>
      <c r="C1275" s="3" t="str">
        <f>"TFC000000855"</f>
        <v>TFC000000855</v>
      </c>
      <c r="D1275" s="3" t="str">
        <f>"F800-20-0942-(AR 2.6)"</f>
        <v>F800-20-0942-(AR 2.6)</v>
      </c>
      <c r="E1275" s="3" t="str">
        <f>"Arthur's christmas cookies"</f>
        <v>Arthur's christmas cookies</v>
      </c>
      <c r="F1275" s="3" t="str">
        <f>"words and picture by Lillian Hoban"</f>
        <v>words and picture by Lillian Hoban</v>
      </c>
      <c r="G1275" s="3" t="str">
        <f>"HarperCollins:Moonjin Media"</f>
        <v>HarperCollins:Moonjin Media</v>
      </c>
      <c r="H1275" s="2" t="str">
        <f>"1972"</f>
        <v>1972</v>
      </c>
      <c r="I1275" s="3" t="str">
        <f>""</f>
        <v/>
      </c>
    </row>
    <row r="1276" spans="1:9" x14ac:dyDescent="0.3">
      <c r="A1276" s="2">
        <v>1275</v>
      </c>
      <c r="B1276" s="4" t="s">
        <v>27</v>
      </c>
      <c r="C1276" s="3" t="str">
        <f>"TFC000000856"</f>
        <v>TFC000000856</v>
      </c>
      <c r="D1276" s="3" t="str">
        <f>"F800-20-0943-(AR 2.6)"</f>
        <v>F800-20-0943-(AR 2.6)</v>
      </c>
      <c r="E1276" s="3" t="str">
        <f>"Silly tilly's thanksgiving dinner"</f>
        <v>Silly tilly's thanksgiving dinner</v>
      </c>
      <c r="F1276" s="3" t="str">
        <f>"story and pictures by Lillian Hoban"</f>
        <v>story and pictures by Lillian Hoban</v>
      </c>
      <c r="G1276" s="3" t="str">
        <f>"HarperCollins Publishers"</f>
        <v>HarperCollins Publishers</v>
      </c>
      <c r="H1276" s="2" t="str">
        <f>"1990"</f>
        <v>1990</v>
      </c>
      <c r="I1276" s="3" t="str">
        <f>""</f>
        <v/>
      </c>
    </row>
    <row r="1277" spans="1:9" x14ac:dyDescent="0.3">
      <c r="A1277" s="2">
        <v>1276</v>
      </c>
      <c r="B1277" s="4" t="s">
        <v>27</v>
      </c>
      <c r="C1277" s="3" t="str">
        <f>"TFC000000857"</f>
        <v>TFC000000857</v>
      </c>
      <c r="D1277" s="3" t="str">
        <f>"F800-20-0944-(AR 2.6)"</f>
        <v>F800-20-0944-(AR 2.6)</v>
      </c>
      <c r="E1277" s="3" t="str">
        <f>"Frog and Toad all year"</f>
        <v>Frog and Toad all year</v>
      </c>
      <c r="F1277" s="3" t="str">
        <f>"by Arnold Lobel"</f>
        <v>by Arnold Lobel</v>
      </c>
      <c r="G1277" s="3" t="str">
        <f>"HarperCollins Publishers"</f>
        <v>HarperCollins Publishers</v>
      </c>
      <c r="H1277" s="2" t="str">
        <f>"1976"</f>
        <v>1976</v>
      </c>
      <c r="I1277" s="3" t="str">
        <f>""</f>
        <v/>
      </c>
    </row>
    <row r="1278" spans="1:9" x14ac:dyDescent="0.3">
      <c r="A1278" s="2">
        <v>1277</v>
      </c>
      <c r="B1278" s="4" t="s">
        <v>27</v>
      </c>
      <c r="C1278" s="3" t="str">
        <f>"TFC000000858"</f>
        <v>TFC000000858</v>
      </c>
      <c r="D1278" s="3" t="str">
        <f>"F800-20-0945-(AR 2.6)"</f>
        <v>F800-20-0945-(AR 2.6)</v>
      </c>
      <c r="E1278" s="3" t="str">
        <f>"George and Martha round and round"</f>
        <v>George and Martha round and round</v>
      </c>
      <c r="F1278" s="3" t="str">
        <f>"James Marshall"</f>
        <v>James Marshall</v>
      </c>
      <c r="G1278" s="3" t="str">
        <f>"Houghton Mifflin"</f>
        <v>Houghton Mifflin</v>
      </c>
      <c r="H1278" s="2" t="str">
        <f>"1988"</f>
        <v>1988</v>
      </c>
      <c r="I1278" s="3" t="str">
        <f>""</f>
        <v/>
      </c>
    </row>
    <row r="1279" spans="1:9" x14ac:dyDescent="0.3">
      <c r="A1279" s="2">
        <v>1278</v>
      </c>
      <c r="B1279" s="4" t="s">
        <v>27</v>
      </c>
      <c r="C1279" s="3" t="str">
        <f>"TFC000000859"</f>
        <v>TFC000000859</v>
      </c>
      <c r="D1279" s="3" t="str">
        <f>"F800-20-0946-(AR 2.6)"</f>
        <v>F800-20-0946-(AR 2.6)</v>
      </c>
      <c r="E1279" s="3" t="str">
        <f>"Soccer cousins"</f>
        <v>Soccer cousins</v>
      </c>
      <c r="F1279" s="3" t="str">
        <f>"by Jean Marzollo ; illustrated by Irene Trivas"</f>
        <v>by Jean Marzollo ; illustrated by Irene Trivas</v>
      </c>
      <c r="G1279" s="3" t="str">
        <f>"Scholastic"</f>
        <v>Scholastic</v>
      </c>
      <c r="H1279" s="2" t="str">
        <f>"1997"</f>
        <v>1997</v>
      </c>
      <c r="I1279" s="3" t="str">
        <f>""</f>
        <v/>
      </c>
    </row>
    <row r="1280" spans="1:9" x14ac:dyDescent="0.3">
      <c r="A1280" s="2">
        <v>1279</v>
      </c>
      <c r="B1280" s="4" t="s">
        <v>27</v>
      </c>
      <c r="C1280" s="3" t="str">
        <f>"TFC000000860"</f>
        <v>TFC000000860</v>
      </c>
      <c r="D1280" s="3" t="str">
        <f>"F800-20-0947-(AR 2.6)"</f>
        <v>F800-20-0947-(AR 2.6)</v>
      </c>
      <c r="E1280" s="3" t="str">
        <f>"Soccer Sam"</f>
        <v>Soccer Sam</v>
      </c>
      <c r="F1280" s="3" t="str">
        <f>"by Jean Marzollo ; illustrated by Blanche Sims"</f>
        <v>by Jean Marzollo ; illustrated by Blanche Sims</v>
      </c>
      <c r="G1280" s="3" t="str">
        <f>"Random House"</f>
        <v>Random House</v>
      </c>
      <c r="H1280" s="2" t="str">
        <f>"2005"</f>
        <v>2005</v>
      </c>
      <c r="I1280" s="3" t="str">
        <f>""</f>
        <v/>
      </c>
    </row>
    <row r="1281" spans="1:9" x14ac:dyDescent="0.3">
      <c r="A1281" s="2">
        <v>1280</v>
      </c>
      <c r="B1281" s="4" t="s">
        <v>27</v>
      </c>
      <c r="C1281" s="3" t="str">
        <f>"TFC000000861"</f>
        <v>TFC000000861</v>
      </c>
      <c r="D1281" s="3" t="str">
        <f>"F800-20-0948-(AR 2.6)"</f>
        <v>F800-20-0948-(AR 2.6)</v>
      </c>
      <c r="E1281" s="3" t="str">
        <f>"Amelia Bedelia and the cat"</f>
        <v>Amelia Bedelia and the cat</v>
      </c>
      <c r="F1281" s="3" t="str">
        <f>"by Herman Parish ; pictures by Lynn Sweat"</f>
        <v>by Herman Parish ; pictures by Lynn Sweat</v>
      </c>
      <c r="G1281" s="3" t="str">
        <f>"Greenwillow Books"</f>
        <v>Greenwillow Books</v>
      </c>
      <c r="H1281" s="2" t="str">
        <f>"2008"</f>
        <v>2008</v>
      </c>
      <c r="I1281" s="3" t="str">
        <f>""</f>
        <v/>
      </c>
    </row>
    <row r="1282" spans="1:9" x14ac:dyDescent="0.3">
      <c r="A1282" s="2">
        <v>1281</v>
      </c>
      <c r="B1282" s="4" t="s">
        <v>27</v>
      </c>
      <c r="C1282" s="3" t="str">
        <f>"TFC000000862"</f>
        <v>TFC000000862</v>
      </c>
      <c r="D1282" s="3" t="str">
        <f>"F800-20-0949-(AR 2.6)"</f>
        <v>F800-20-0949-(AR 2.6)</v>
      </c>
      <c r="E1282" s="3" t="str">
        <f>"Thank you, Amelia Bedelia"</f>
        <v>Thank you, Amelia Bedelia</v>
      </c>
      <c r="F1282" s="3" t="str">
        <f>"story by Peggy Parish ; pictures by Barbara Siebel Thomas ; based on the original drawings by Fritz Siebel"</f>
        <v>story by Peggy Parish ; pictures by Barbara Siebel Thomas ; based on the original drawings by Fritz Siebel</v>
      </c>
      <c r="G1282" s="3" t="str">
        <f>"HarperCollins Publishers"</f>
        <v>HarperCollins Publishers</v>
      </c>
      <c r="H1282" s="2" t="str">
        <f>"1993"</f>
        <v>1993</v>
      </c>
      <c r="I1282" s="3" t="str">
        <f>""</f>
        <v/>
      </c>
    </row>
    <row r="1283" spans="1:9" x14ac:dyDescent="0.3">
      <c r="A1283" s="2">
        <v>1282</v>
      </c>
      <c r="B1283" s="4" t="s">
        <v>27</v>
      </c>
      <c r="C1283" s="3" t="str">
        <f>"TFC000000863"</f>
        <v>TFC000000863</v>
      </c>
      <c r="D1283" s="3" t="str">
        <f>"F800-20-0950-(AR 2.6)"</f>
        <v>F800-20-0950-(AR 2.6)</v>
      </c>
      <c r="E1283" s="3" t="str">
        <f>"(The)glorious flight : across the Channel with Louis Bleriot July 25, 1909"</f>
        <v>(The)glorious flight : across the Channel with Louis Bleriot July 25, 1909</v>
      </c>
      <c r="F1283" s="3" t="str">
        <f>"by Alice Provensen, Martin Provensen"</f>
        <v>by Alice Provensen, Martin Provensen</v>
      </c>
      <c r="G1283" s="3" t="str">
        <f>"Puffin Books"</f>
        <v>Puffin Books</v>
      </c>
      <c r="H1283" s="2" t="str">
        <f>"1987"</f>
        <v>1987</v>
      </c>
      <c r="I1283" s="3" t="str">
        <f>""</f>
        <v/>
      </c>
    </row>
    <row r="1284" spans="1:9" x14ac:dyDescent="0.3">
      <c r="A1284" s="2">
        <v>1283</v>
      </c>
      <c r="B1284" s="4" t="s">
        <v>27</v>
      </c>
      <c r="C1284" s="3" t="str">
        <f>"TFC000000864"</f>
        <v>TFC000000864</v>
      </c>
      <c r="D1284" s="3" t="str">
        <f>"F800-20-0951-(AR 2.6)"</f>
        <v>F800-20-0951-(AR 2.6)</v>
      </c>
      <c r="E1284" s="3" t="str">
        <f>"How much is that guinea pig in the window?"</f>
        <v>How much is that guinea pig in the window?</v>
      </c>
      <c r="F1284" s="3" t="str">
        <f>"by Joanne Rocklin ; illustrated by Meredith Johnson"</f>
        <v>by Joanne Rocklin ; illustrated by Meredith Johnson</v>
      </c>
      <c r="G1284" s="3" t="str">
        <f>"Scholastic"</f>
        <v>Scholastic</v>
      </c>
      <c r="H1284" s="2" t="str">
        <f>"1995"</f>
        <v>1995</v>
      </c>
      <c r="I1284" s="3" t="str">
        <f>""</f>
        <v/>
      </c>
    </row>
    <row r="1285" spans="1:9" x14ac:dyDescent="0.3">
      <c r="A1285" s="2">
        <v>1284</v>
      </c>
      <c r="B1285" s="4" t="s">
        <v>27</v>
      </c>
      <c r="C1285" s="3" t="str">
        <f>"TFC000000865"</f>
        <v>TFC000000865</v>
      </c>
      <c r="D1285" s="3" t="str">
        <f>"F800-20-0952-(AR 2.6)"</f>
        <v>F800-20-0952-(AR 2.6)</v>
      </c>
      <c r="E1285" s="3" t="str">
        <f>"(The)gingerbread man"</f>
        <v>(The)gingerbread man</v>
      </c>
      <c r="F1285" s="3" t="str">
        <f>"pictures by Karen Lee Schmidt"</f>
        <v>pictures by Karen Lee Schmidt</v>
      </c>
      <c r="G1285" s="3" t="str">
        <f>"Scholastic"</f>
        <v>Scholastic</v>
      </c>
      <c r="H1285" s="2" t="str">
        <f>"1967"</f>
        <v>1967</v>
      </c>
      <c r="I1285" s="3" t="str">
        <f>""</f>
        <v/>
      </c>
    </row>
    <row r="1286" spans="1:9" x14ac:dyDescent="0.3">
      <c r="A1286" s="2">
        <v>1285</v>
      </c>
      <c r="B1286" s="4" t="s">
        <v>27</v>
      </c>
      <c r="C1286" s="3" t="str">
        <f>"TFC000000871"</f>
        <v>TFC000000871</v>
      </c>
      <c r="D1286" s="3" t="str">
        <f>"F800-20-0958-(AR 2.6)"</f>
        <v>F800-20-0958-(AR 2.6)</v>
      </c>
      <c r="E1286" s="3" t="str">
        <f>"(The)giving tree"</f>
        <v>(The)giving tree</v>
      </c>
      <c r="F1286" s="3" t="str">
        <f>"by Shel Silverstein"</f>
        <v>by Shel Silverstein</v>
      </c>
      <c r="G1286" s="3" t="str">
        <f>"HarperCollins Publishers"</f>
        <v>HarperCollins Publishers</v>
      </c>
      <c r="H1286" s="2" t="str">
        <f>"1992"</f>
        <v>1992</v>
      </c>
      <c r="I1286" s="3" t="str">
        <f>""</f>
        <v/>
      </c>
    </row>
    <row r="1287" spans="1:9" x14ac:dyDescent="0.3">
      <c r="A1287" s="2">
        <v>1286</v>
      </c>
      <c r="B1287" s="4" t="s">
        <v>27</v>
      </c>
      <c r="C1287" s="3" t="str">
        <f>"TFC000000872"</f>
        <v>TFC000000872</v>
      </c>
      <c r="D1287" s="3" t="str">
        <f>"F800-20-0959-(AR 2.6)"</f>
        <v>F800-20-0959-(AR 2.6)</v>
      </c>
      <c r="E1287" s="3" t="str">
        <f>"Detective dinosaur lost and found"</f>
        <v>Detective dinosaur lost and found</v>
      </c>
      <c r="F1287" s="3" t="str">
        <f>"by James Skofield ; pictures by R. W. Alley"</f>
        <v>by James Skofield ; pictures by R. W. Alley</v>
      </c>
      <c r="G1287" s="3" t="str">
        <f>"HarperCollins Publishers"</f>
        <v>HarperCollins Publishers</v>
      </c>
      <c r="H1287" s="2" t="str">
        <f>"1998"</f>
        <v>1998</v>
      </c>
      <c r="I1287" s="3" t="str">
        <f>""</f>
        <v/>
      </c>
    </row>
    <row r="1288" spans="1:9" x14ac:dyDescent="0.3">
      <c r="A1288" s="2">
        <v>1287</v>
      </c>
      <c r="B1288" s="4" t="s">
        <v>27</v>
      </c>
      <c r="C1288" s="3" t="str">
        <f>"TFC000000873"</f>
        <v>TFC000000873</v>
      </c>
      <c r="D1288" s="3" t="str">
        <f>"F800-20-0960-(AR 2.6)"</f>
        <v>F800-20-0960-(AR 2.6)</v>
      </c>
      <c r="E1288" s="3" t="str">
        <f>"Imogene's antlers"</f>
        <v>Imogene's antlers</v>
      </c>
      <c r="F1288" s="3" t="str">
        <f>"by David Small"</f>
        <v>by David Small</v>
      </c>
      <c r="G1288" s="3" t="str">
        <f>"Dragonfly Books"</f>
        <v>Dragonfly Books</v>
      </c>
      <c r="H1288" s="2" t="str">
        <f>"1985"</f>
        <v>1985</v>
      </c>
      <c r="I1288" s="3" t="str">
        <f>""</f>
        <v/>
      </c>
    </row>
    <row r="1289" spans="1:9" x14ac:dyDescent="0.3">
      <c r="A1289" s="2">
        <v>1288</v>
      </c>
      <c r="B1289" s="4" t="s">
        <v>27</v>
      </c>
      <c r="C1289" s="3" t="str">
        <f>"TFC000000874"</f>
        <v>TFC000000874</v>
      </c>
      <c r="D1289" s="3" t="str">
        <f>"F800-20-0961-(AR 2.6)"</f>
        <v>F800-20-0961-(AR 2.6)</v>
      </c>
      <c r="E1289" s="3" t="str">
        <f>"(The)best story"</f>
        <v>(The)best story</v>
      </c>
      <c r="F1289" s="3" t="str">
        <f>"by Eileen Spinelli ; illustrated by Anne Wilsdorf"</f>
        <v>by Eileen Spinelli ; illustrated by Anne Wilsdorf</v>
      </c>
      <c r="G1289" s="3" t="str">
        <f>"Dial Books for Young Readers"</f>
        <v>Dial Books for Young Readers</v>
      </c>
      <c r="H1289" s="2" t="str">
        <f>"2008"</f>
        <v>2008</v>
      </c>
      <c r="I1289" s="3" t="str">
        <f>""</f>
        <v/>
      </c>
    </row>
    <row r="1290" spans="1:9" x14ac:dyDescent="0.3">
      <c r="A1290" s="2">
        <v>1289</v>
      </c>
      <c r="B1290" s="4" t="s">
        <v>27</v>
      </c>
      <c r="C1290" s="3" t="str">
        <f>"TFC000000875"</f>
        <v>TFC000000875</v>
      </c>
      <c r="D1290" s="3" t="str">
        <f>"F800-20-0962-(AR 2.6)"</f>
        <v>F800-20-0962-(AR 2.6)</v>
      </c>
      <c r="E1290" s="3" t="str">
        <f>"Bunny Cakes"</f>
        <v>Bunny Cakes</v>
      </c>
      <c r="F1290" s="3" t="str">
        <f>"by Rosemary Wells"</f>
        <v>by Rosemary Wells</v>
      </c>
      <c r="G1290" s="3" t="str">
        <f>"Viking"</f>
        <v>Viking</v>
      </c>
      <c r="H1290" s="2" t="str">
        <f>"1997"</f>
        <v>1997</v>
      </c>
      <c r="I1290" s="3" t="str">
        <f>""</f>
        <v/>
      </c>
    </row>
    <row r="1291" spans="1:9" x14ac:dyDescent="0.3">
      <c r="A1291" s="2">
        <v>1290</v>
      </c>
      <c r="B1291" s="4" t="s">
        <v>27</v>
      </c>
      <c r="C1291" s="3" t="str">
        <f>"TFC000000876"</f>
        <v>TFC000000876</v>
      </c>
      <c r="D1291" s="3" t="str">
        <f>"F800-20-0963-(AR 2.6)"</f>
        <v>F800-20-0963-(AR 2.6)</v>
      </c>
      <c r="E1291" s="3" t="str">
        <f>"Silly sally"</f>
        <v>Silly sally</v>
      </c>
      <c r="F1291" s="3" t="str">
        <f>"by Audrey Wood"</f>
        <v>by Audrey Wood</v>
      </c>
      <c r="G1291" s="3" t="str">
        <f>"Harcourt Brace Jovanovich"</f>
        <v>Harcourt Brace Jovanovich</v>
      </c>
      <c r="H1291" s="2" t="str">
        <f>"1992"</f>
        <v>1992</v>
      </c>
      <c r="I1291" s="3" t="str">
        <f>""</f>
        <v/>
      </c>
    </row>
    <row r="1292" spans="1:9" x14ac:dyDescent="0.3">
      <c r="A1292" s="2">
        <v>1291</v>
      </c>
      <c r="B1292" s="4" t="s">
        <v>27</v>
      </c>
      <c r="C1292" s="3" t="str">
        <f>"TFC000000877"</f>
        <v>TFC000000877</v>
      </c>
      <c r="D1292" s="3" t="str">
        <f>"F800-20-0964-(AR 2.6)"</f>
        <v>F800-20-0964-(AR 2.6)</v>
      </c>
      <c r="E1292" s="3" t="str">
        <f>"(The)benenstain beans down on th farm"</f>
        <v>(The)benenstain beans down on th farm</v>
      </c>
      <c r="F1292" s="3" t="str">
        <f>"Stan Berenstain, Jan Berenstain"</f>
        <v>Stan Berenstain, Jan Berenstain</v>
      </c>
      <c r="G1292" s="3" t="str">
        <f>"HarperCollins Publishers"</f>
        <v>HarperCollins Publishers</v>
      </c>
      <c r="H1292" s="2" t="str">
        <f>"2006"</f>
        <v>2006</v>
      </c>
      <c r="I1292" s="3" t="str">
        <f>""</f>
        <v/>
      </c>
    </row>
    <row r="1293" spans="1:9" x14ac:dyDescent="0.3">
      <c r="A1293" s="2">
        <v>1292</v>
      </c>
      <c r="B1293" s="4" t="s">
        <v>27</v>
      </c>
      <c r="C1293" s="3" t="str">
        <f>"TFC000000878"</f>
        <v>TFC000000878</v>
      </c>
      <c r="D1293" s="3" t="str">
        <f>"F800-20-0965-(AR 2.6)"</f>
        <v>F800-20-0965-(AR 2.6)</v>
      </c>
      <c r="E1293" s="3" t="str">
        <f>"Never ask a bear"</f>
        <v>Never ask a bear</v>
      </c>
      <c r="F1293" s="3" t="str">
        <f>"by Louise Bonnett-Rampersaud ; illustrated by Doris Barrette"</f>
        <v>by Louise Bonnett-Rampersaud ; illustrated by Doris Barrette</v>
      </c>
      <c r="G1293" s="3" t="str">
        <f>"HarperCollins Children's"</f>
        <v>HarperCollins Children's</v>
      </c>
      <c r="H1293" s="2" t="str">
        <f>"2009"</f>
        <v>2009</v>
      </c>
      <c r="I1293" s="3" t="str">
        <f>""</f>
        <v/>
      </c>
    </row>
    <row r="1294" spans="1:9" x14ac:dyDescent="0.3">
      <c r="A1294" s="2">
        <v>1293</v>
      </c>
      <c r="B1294" s="4" t="s">
        <v>27</v>
      </c>
      <c r="C1294" s="3" t="str">
        <f>"TFC000000879"</f>
        <v>TFC000000879</v>
      </c>
      <c r="D1294" s="3" t="str">
        <f>"F800-20-0966-(AR 2.6)"</f>
        <v>F800-20-0966-(AR 2.6)</v>
      </c>
      <c r="E1294" s="3" t="str">
        <f>"Pish and bosh wish for fairy wings"</f>
        <v>Pish and bosh wish for fairy wings</v>
      </c>
      <c r="F1294" s="3" t="str">
        <f>"by Barbara Bottner, Gerald Kruglik ; pictures by Barbara Bottner"</f>
        <v>by Barbara Bottner, Gerald Kruglik ; pictures by Barbara Bottner</v>
      </c>
      <c r="G1294" s="3" t="str">
        <f>"HarperTrophy:Moonjin Media"</f>
        <v>HarperTrophy:Moonjin Media</v>
      </c>
      <c r="H1294" s="2" t="str">
        <f>"2006"</f>
        <v>2006</v>
      </c>
      <c r="I1294" s="3" t="str">
        <f>""</f>
        <v/>
      </c>
    </row>
    <row r="1295" spans="1:9" x14ac:dyDescent="0.3">
      <c r="A1295" s="2">
        <v>1294</v>
      </c>
      <c r="B1295" s="4" t="s">
        <v>27</v>
      </c>
      <c r="C1295" s="3" t="str">
        <f>"TFC000000880"</f>
        <v>TFC000000880</v>
      </c>
      <c r="D1295" s="3" t="str">
        <f>"F800-20-0967-(AR 2.6)"</f>
        <v>F800-20-0967-(AR 2.6)</v>
      </c>
      <c r="E1295" s="3" t="str">
        <f>"Snowmen all year"</f>
        <v>Snowmen all year</v>
      </c>
      <c r="F1295" s="3" t="str">
        <f>"Caralyn Buehner ; pictures by Mark Buehner"</f>
        <v>Caralyn Buehner ; pictures by Mark Buehner</v>
      </c>
      <c r="G1295" s="3" t="str">
        <f>"Dial Books"</f>
        <v>Dial Books</v>
      </c>
      <c r="H1295" s="2" t="str">
        <f>"2010"</f>
        <v>2010</v>
      </c>
      <c r="I1295" s="3" t="str">
        <f>""</f>
        <v/>
      </c>
    </row>
    <row r="1296" spans="1:9" x14ac:dyDescent="0.3">
      <c r="A1296" s="2">
        <v>1295</v>
      </c>
      <c r="B1296" s="4" t="s">
        <v>27</v>
      </c>
      <c r="C1296" s="3" t="str">
        <f>"TFC000000881"</f>
        <v>TFC000000881</v>
      </c>
      <c r="D1296" s="3" t="str">
        <f>"F800-20-0968-(AR 2.6)"</f>
        <v>F800-20-0968-(AR 2.6)</v>
      </c>
      <c r="E1296" s="3" t="str">
        <f>"But excuse me that is my book"</f>
        <v>But excuse me that is my book</v>
      </c>
      <c r="F1296" s="3" t="str">
        <f>"Lauren Child"</f>
        <v>Lauren Child</v>
      </c>
      <c r="G1296" s="3" t="str">
        <f>"Dial Books for Young Readers"</f>
        <v>Dial Books for Young Readers</v>
      </c>
      <c r="H1296" s="2" t="str">
        <f>"2006"</f>
        <v>2006</v>
      </c>
      <c r="I1296" s="3" t="str">
        <f>""</f>
        <v/>
      </c>
    </row>
    <row r="1297" spans="1:9" x14ac:dyDescent="0.3">
      <c r="A1297" s="2">
        <v>1296</v>
      </c>
      <c r="B1297" s="4" t="s">
        <v>27</v>
      </c>
      <c r="C1297" s="3" t="str">
        <f>"TFC000000882"</f>
        <v>TFC000000882</v>
      </c>
      <c r="D1297" s="3" t="str">
        <f>"F800-20-0969-(AR 2.6)"</f>
        <v>F800-20-0969-(AR 2.6)</v>
      </c>
      <c r="E1297" s="3" t="str">
        <f>"There was an old lady who swallowed a bell!"</f>
        <v>There was an old lady who swallowed a bell!</v>
      </c>
      <c r="F1297" s="3" t="str">
        <f>"by Lucille Colandro ; illustrated by Jared Lee"</f>
        <v>by Lucille Colandro ; illustrated by Jared Lee</v>
      </c>
      <c r="G1297" s="3" t="str">
        <f>"Scholastic"</f>
        <v>Scholastic</v>
      </c>
      <c r="H1297" s="2" t="str">
        <f>"2008"</f>
        <v>2008</v>
      </c>
      <c r="I1297" s="3" t="str">
        <f>""</f>
        <v/>
      </c>
    </row>
    <row r="1298" spans="1:9" x14ac:dyDescent="0.3">
      <c r="A1298" s="2">
        <v>1297</v>
      </c>
      <c r="B1298" s="4" t="s">
        <v>27</v>
      </c>
      <c r="C1298" s="3" t="str">
        <f>"TFC000000883"</f>
        <v>TFC000000883</v>
      </c>
      <c r="D1298" s="3" t="str">
        <f>"F800-20-0970-(AR 2.6)"</f>
        <v>F800-20-0970-(AR 2.6)</v>
      </c>
      <c r="E1298" s="3" t="str">
        <f>"(The)great indoors"</f>
        <v>(The)great indoors</v>
      </c>
      <c r="F1298" s="3" t="str">
        <f>"by Julie Falatko ; illustrated by Ruth Chan"</f>
        <v>by Julie Falatko ; illustrated by Ruth Chan</v>
      </c>
      <c r="G1298" s="3" t="str">
        <f>"Disney·Hyperion"</f>
        <v>Disney·Hyperion</v>
      </c>
      <c r="H1298" s="2" t="str">
        <f>"2019"</f>
        <v>2019</v>
      </c>
      <c r="I1298" s="3" t="str">
        <f>""</f>
        <v/>
      </c>
    </row>
    <row r="1299" spans="1:9" x14ac:dyDescent="0.3">
      <c r="A1299" s="2">
        <v>1298</v>
      </c>
      <c r="B1299" s="4" t="s">
        <v>27</v>
      </c>
      <c r="C1299" s="3" t="str">
        <f>"TFC000000884"</f>
        <v>TFC000000884</v>
      </c>
      <c r="D1299" s="3" t="str">
        <f>"F800-20-0971-(AR 2.6)"</f>
        <v>F800-20-0971-(AR 2.6)</v>
      </c>
      <c r="E1299" s="3" t="str">
        <f>"Yasmin the chef"</f>
        <v>Yasmin the chef</v>
      </c>
      <c r="F1299" s="3" t="str">
        <f>"written by Saadia Faruqi ; illustrated by Hatem Aly"</f>
        <v>written by Saadia Faruqi ; illustrated by Hatem Aly</v>
      </c>
      <c r="G1299" s="3" t="str">
        <f>"Picture Window Books"</f>
        <v>Picture Window Books</v>
      </c>
      <c r="H1299" s="2" t="str">
        <f>"2019"</f>
        <v>2019</v>
      </c>
      <c r="I1299" s="3" t="str">
        <f>""</f>
        <v/>
      </c>
    </row>
    <row r="1300" spans="1:9" x14ac:dyDescent="0.3">
      <c r="A1300" s="2">
        <v>1299</v>
      </c>
      <c r="B1300" s="4" t="s">
        <v>27</v>
      </c>
      <c r="C1300" s="3" t="str">
        <f>"TFC000000885"</f>
        <v>TFC000000885</v>
      </c>
      <c r="D1300" s="3" t="str">
        <f>"F800-20-0972-(AR 2.6)"</f>
        <v>F800-20-0972-(AR 2.6)</v>
      </c>
      <c r="E1300" s="3" t="str">
        <f>"Dog vs. Cat"</f>
        <v>Dog vs. Cat</v>
      </c>
      <c r="F1300" s="3" t="str">
        <f>"Chris Gall"</f>
        <v>Chris Gall</v>
      </c>
      <c r="G1300" s="3" t="str">
        <f>"Little, Brown and Company"</f>
        <v>Little, Brown and Company</v>
      </c>
      <c r="H1300" s="2" t="str">
        <f>"2014"</f>
        <v>2014</v>
      </c>
      <c r="I1300" s="3" t="str">
        <f>""</f>
        <v/>
      </c>
    </row>
    <row r="1301" spans="1:9" x14ac:dyDescent="0.3">
      <c r="A1301" s="2">
        <v>1300</v>
      </c>
      <c r="B1301" s="4" t="s">
        <v>27</v>
      </c>
      <c r="C1301" s="3" t="str">
        <f>"TFC000000886"</f>
        <v>TFC000000886</v>
      </c>
      <c r="D1301" s="3" t="str">
        <f>"F800-20-0973-(AR 2.6)"</f>
        <v>F800-20-0973-(AR 2.6)</v>
      </c>
      <c r="E1301" s="3" t="str">
        <f>"Nobody hugs a cactus"</f>
        <v>Nobody hugs a cactus</v>
      </c>
      <c r="F1301" s="3" t="str">
        <f>"Carter Goodrich ; illustrated by Chris Mayers"</f>
        <v>Carter Goodrich ; illustrated by Chris Mayers</v>
      </c>
      <c r="G1301" s="3" t="str">
        <f>"Simon &amp; Schuster Books for Young Readers"</f>
        <v>Simon &amp; Schuster Books for Young Readers</v>
      </c>
      <c r="H1301" s="2" t="str">
        <f>"2019"</f>
        <v>2019</v>
      </c>
      <c r="I1301" s="3" t="str">
        <f>""</f>
        <v/>
      </c>
    </row>
    <row r="1302" spans="1:9" x14ac:dyDescent="0.3">
      <c r="A1302" s="2">
        <v>1301</v>
      </c>
      <c r="B1302" s="4" t="s">
        <v>27</v>
      </c>
      <c r="C1302" s="3" t="str">
        <f>"TFC000000887"</f>
        <v>TFC000000887</v>
      </c>
      <c r="D1302" s="3" t="str">
        <f>"F800-20-0974-(AR 2.6)"</f>
        <v>F800-20-0974-(AR 2.6)</v>
      </c>
      <c r="E1302" s="3" t="str">
        <f>"Marley and the kittens"</f>
        <v>Marley and the kittens</v>
      </c>
      <c r="F1302" s="3" t="str">
        <f>"by John Grogan ; illustrated by Richard Cowdrey"</f>
        <v>by John Grogan ; illustrated by Richard Cowdrey</v>
      </c>
      <c r="G1302" s="3" t="str">
        <f>"Harper"</f>
        <v>Harper</v>
      </c>
      <c r="H1302" s="2" t="str">
        <f>"2010"</f>
        <v>2010</v>
      </c>
      <c r="I1302" s="3" t="str">
        <f>""</f>
        <v/>
      </c>
    </row>
    <row r="1303" spans="1:9" x14ac:dyDescent="0.3">
      <c r="A1303" s="2">
        <v>1302</v>
      </c>
      <c r="B1303" s="4" t="s">
        <v>27</v>
      </c>
      <c r="C1303" s="3" t="str">
        <f>"TFC000000888"</f>
        <v>TFC000000888</v>
      </c>
      <c r="D1303" s="3" t="str">
        <f>"F800-20-0975-(AR 2.6)"</f>
        <v>F800-20-0975-(AR 2.6)</v>
      </c>
      <c r="E1303" s="3" t="str">
        <f>"At the show"</f>
        <v>At the show</v>
      </c>
      <c r="F1303" s="3" t="str">
        <f>"by Catherine Hapka ; pictures by Anne Kennedy"</f>
        <v>by Catherine Hapka ; pictures by Anne Kennedy</v>
      </c>
      <c r="G1303" s="3" t="str">
        <f>"Harper"</f>
        <v>Harper</v>
      </c>
      <c r="H1303" s="2" t="str">
        <f>"2011"</f>
        <v>2011</v>
      </c>
      <c r="I1303" s="3" t="str">
        <f>""</f>
        <v/>
      </c>
    </row>
    <row r="1304" spans="1:9" x14ac:dyDescent="0.3">
      <c r="A1304" s="2">
        <v>1303</v>
      </c>
      <c r="B1304" s="4" t="s">
        <v>27</v>
      </c>
      <c r="C1304" s="3" t="str">
        <f>"TFC000000890"</f>
        <v>TFC000000890</v>
      </c>
      <c r="D1304" s="3" t="str">
        <f>"F800-20-0977-(AR 2.6)"</f>
        <v>F800-20-0977-(AR 2.6)</v>
      </c>
      <c r="E1304" s="3" t="str">
        <f>"Peter pan in mummy land : a graphic novel"</f>
        <v>Peter pan in mummy land : a graphic novel</v>
      </c>
      <c r="F1304" s="3" t="str">
        <f>"by Benjamin Harper ; illustrated by Fern Cano"</f>
        <v>by Benjamin Harper ; illustrated by Fern Cano</v>
      </c>
      <c r="G1304" s="3" t="str">
        <f>"Stone Arch Books"</f>
        <v>Stone Arch Books</v>
      </c>
      <c r="H1304" s="2" t="str">
        <f>"2020"</f>
        <v>2020</v>
      </c>
      <c r="I1304" s="3" t="str">
        <f>""</f>
        <v/>
      </c>
    </row>
    <row r="1305" spans="1:9" x14ac:dyDescent="0.3">
      <c r="A1305" s="2">
        <v>1304</v>
      </c>
      <c r="B1305" s="4" t="s">
        <v>27</v>
      </c>
      <c r="C1305" s="3" t="str">
        <f>"TFC000000891"</f>
        <v>TFC000000891</v>
      </c>
      <c r="D1305" s="3" t="str">
        <f>"F800-20-0978-(AR 2.6)"</f>
        <v>F800-20-0978-(AR 2.6)</v>
      </c>
      <c r="E1305" s="3" t="str">
        <f>"My garden"</f>
        <v>My garden</v>
      </c>
      <c r="F1305" s="3" t="str">
        <f>"Kevin Henkes"</f>
        <v>Kevin Henkes</v>
      </c>
      <c r="G1305" s="3" t="str">
        <f>"Greenwillow Books"</f>
        <v>Greenwillow Books</v>
      </c>
      <c r="H1305" s="2" t="str">
        <f>"2010"</f>
        <v>2010</v>
      </c>
      <c r="I1305" s="3" t="str">
        <f>""</f>
        <v/>
      </c>
    </row>
    <row r="1306" spans="1:9" x14ac:dyDescent="0.3">
      <c r="A1306" s="2">
        <v>1305</v>
      </c>
      <c r="B1306" s="4" t="s">
        <v>27</v>
      </c>
      <c r="C1306" s="3" t="str">
        <f>"TFC000000892"</f>
        <v>TFC000000892</v>
      </c>
      <c r="D1306" s="3" t="str">
        <f>"F800-20-0979-(AR 2.6)"</f>
        <v>F800-20-0979-(AR 2.6)</v>
      </c>
      <c r="E1306" s="3" t="str">
        <f>"Penny and her sled"</f>
        <v>Penny and her sled</v>
      </c>
      <c r="F1306" s="3" t="str">
        <f>"Kevin Henkes"</f>
        <v>Kevin Henkes</v>
      </c>
      <c r="G1306" s="3" t="str">
        <f>"Greenwillow Books"</f>
        <v>Greenwillow Books</v>
      </c>
      <c r="H1306" s="2" t="str">
        <f>"2019"</f>
        <v>2019</v>
      </c>
      <c r="I1306" s="3" t="str">
        <f>""</f>
        <v/>
      </c>
    </row>
    <row r="1307" spans="1:9" x14ac:dyDescent="0.3">
      <c r="A1307" s="2">
        <v>1306</v>
      </c>
      <c r="B1307" s="4" t="s">
        <v>27</v>
      </c>
      <c r="C1307" s="3" t="str">
        <f>"TFC000000893"</f>
        <v>TFC000000893</v>
      </c>
      <c r="D1307" s="3" t="str">
        <f>"F800-20-0980-(AR 2.6)"</f>
        <v>F800-20-0980-(AR 2.6)</v>
      </c>
      <c r="E1307" s="3" t="str">
        <f>"Floaty"</f>
        <v>Floaty</v>
      </c>
      <c r="F1307" s="3" t="str">
        <f>"John Himmelman"</f>
        <v>John Himmelman</v>
      </c>
      <c r="G1307" s="3" t="str">
        <f>"Henry Holt and Company"</f>
        <v>Henry Holt and Company</v>
      </c>
      <c r="H1307" s="2" t="str">
        <f>"2018"</f>
        <v>2018</v>
      </c>
      <c r="I1307" s="3" t="str">
        <f>""</f>
        <v/>
      </c>
    </row>
    <row r="1308" spans="1:9" x14ac:dyDescent="0.3">
      <c r="A1308" s="2">
        <v>1307</v>
      </c>
      <c r="B1308" s="4" t="s">
        <v>27</v>
      </c>
      <c r="C1308" s="3" t="str">
        <f>"TFC000000894"</f>
        <v>TFC000000894</v>
      </c>
      <c r="D1308" s="3" t="str">
        <f>"F800-20-0981-(AR 2.6)"</f>
        <v>F800-20-0981-(AR 2.6)</v>
      </c>
      <c r="E1308" s="3" t="str">
        <f>"(The)two Tyrones"</f>
        <v>(The)two Tyrones</v>
      </c>
      <c r="F1308" s="3" t="str">
        <f>"by Wade Hudson ; illustrated by Mark Page"</f>
        <v>by Wade Hudson ; illustrated by Mark Page</v>
      </c>
      <c r="G1308" s="3" t="str">
        <f>"Scholastic"</f>
        <v>Scholastic</v>
      </c>
      <c r="H1308" s="2" t="str">
        <f>"2004"</f>
        <v>2004</v>
      </c>
      <c r="I1308" s="3" t="str">
        <f>""</f>
        <v/>
      </c>
    </row>
    <row r="1309" spans="1:9" x14ac:dyDescent="0.3">
      <c r="A1309" s="2">
        <v>1308</v>
      </c>
      <c r="B1309" s="4" t="s">
        <v>27</v>
      </c>
      <c r="C1309" s="3" t="str">
        <f>"TFC000000896"</f>
        <v>TFC000000896</v>
      </c>
      <c r="D1309" s="3" t="str">
        <f>"F800-20-0983-(AR 2.6)"</f>
        <v>F800-20-0983-(AR 2.6)</v>
      </c>
      <c r="E1309" s="3" t="str">
        <f>"What was it like?"</f>
        <v>What was it like?</v>
      </c>
      <c r="F1309" s="3" t="str">
        <f>"written by Roderick Hunt ; illustrated by Alex Brychta"</f>
        <v>written by Roderick Hunt ; illustrated by Alex Brychta</v>
      </c>
      <c r="G1309" s="3" t="str">
        <f>"Oxford University Press"</f>
        <v>Oxford University Press</v>
      </c>
      <c r="H1309" s="2" t="str">
        <f>"2011"</f>
        <v>2011</v>
      </c>
      <c r="I1309" s="3" t="str">
        <f>""</f>
        <v/>
      </c>
    </row>
    <row r="1310" spans="1:9" x14ac:dyDescent="0.3">
      <c r="A1310" s="2">
        <v>1309</v>
      </c>
      <c r="B1310" s="4" t="s">
        <v>27</v>
      </c>
      <c r="C1310" s="3" t="str">
        <f>"TFC000000897"</f>
        <v>TFC000000897</v>
      </c>
      <c r="D1310" s="3" t="str">
        <f>"F800-20-0984-(AR 2.6)"</f>
        <v>F800-20-0984-(AR 2.6)</v>
      </c>
      <c r="E1310" s="3" t="str">
        <f>"Welcome to headquarters"</f>
        <v>Welcome to headquarters</v>
      </c>
      <c r="F1310" s="3" t="str">
        <f>"by Apple Jordan ; edited by Cliff Lee ; illustrated by the Disney Storybook Art Team"</f>
        <v>by Apple Jordan ; edited by Cliff Lee ; illustrated by the Disney Storybook Art Team</v>
      </c>
      <c r="G1310" s="3" t="str">
        <f>"Two Ponds"</f>
        <v>Two Ponds</v>
      </c>
      <c r="H1310" s="2" t="str">
        <f>"2015"</f>
        <v>2015</v>
      </c>
      <c r="I1310" s="3" t="str">
        <f>""</f>
        <v/>
      </c>
    </row>
    <row r="1311" spans="1:9" x14ac:dyDescent="0.3">
      <c r="A1311" s="2">
        <v>1310</v>
      </c>
      <c r="B1311" s="4" t="s">
        <v>27</v>
      </c>
      <c r="C1311" s="3" t="str">
        <f>"TFC000000898"</f>
        <v>TFC000000898</v>
      </c>
      <c r="D1311" s="3" t="str">
        <f>"F800-20-0985-(AR 2.6)"</f>
        <v>F800-20-0985-(AR 2.6)</v>
      </c>
      <c r="E1311" s="3" t="str">
        <f>"Emeraldalicious"</f>
        <v>Emeraldalicious</v>
      </c>
      <c r="F1311" s="3" t="str">
        <f>"written and illustrated by Victoria Kann"</f>
        <v>written and illustrated by Victoria Kann</v>
      </c>
      <c r="G1311" s="3" t="str">
        <f>"Harper"</f>
        <v>Harper</v>
      </c>
      <c r="H1311" s="2" t="str">
        <f>"2013"</f>
        <v>2013</v>
      </c>
      <c r="I1311" s="3" t="str">
        <f>""</f>
        <v/>
      </c>
    </row>
    <row r="1312" spans="1:9" x14ac:dyDescent="0.3">
      <c r="A1312" s="2">
        <v>1311</v>
      </c>
      <c r="B1312" s="4" t="s">
        <v>27</v>
      </c>
      <c r="C1312" s="3" t="str">
        <f>"TFC000000899"</f>
        <v>TFC000000899</v>
      </c>
      <c r="D1312" s="3" t="str">
        <f>"F800-20-0986-(AR 2.6)"</f>
        <v>F800-20-0986-(AR 2.6)</v>
      </c>
      <c r="E1312" s="3" t="str">
        <f>"Purplicious"</f>
        <v>Purplicious</v>
      </c>
      <c r="F1312" s="3" t="str">
        <f>"written by Victoria Kann, Elizabeth Kann ; illustrated by Victoria Kann"</f>
        <v>written by Victoria Kann, Elizabeth Kann ; illustrated by Victoria Kann</v>
      </c>
      <c r="G1312" s="3" t="str">
        <f>"HarperCollinsPublishers"</f>
        <v>HarperCollinsPublishers</v>
      </c>
      <c r="H1312" s="2" t="str">
        <f>"2007"</f>
        <v>2007</v>
      </c>
      <c r="I1312" s="3" t="str">
        <f>""</f>
        <v/>
      </c>
    </row>
    <row r="1313" spans="1:9" x14ac:dyDescent="0.3">
      <c r="A1313" s="2">
        <v>1312</v>
      </c>
      <c r="B1313" s="4" t="s">
        <v>27</v>
      </c>
      <c r="C1313" s="3" t="str">
        <f>"TFC000000900"</f>
        <v>TFC000000900</v>
      </c>
      <c r="D1313" s="3" t="str">
        <f>"F800-20-0987-(AR 2.6)"</f>
        <v>F800-20-0987-(AR 2.6)</v>
      </c>
      <c r="E1313" s="3" t="str">
        <f>"If I had a little dream"</f>
        <v>If I had a little dream</v>
      </c>
      <c r="F1313" s="3" t="str">
        <f>"by Nina Laden ; illustrated by Melissa Castrillon"</f>
        <v>by Nina Laden ; illustrated by Melissa Castrillon</v>
      </c>
      <c r="G1313" s="3" t="str">
        <f>"Simon &amp; Schuster Books for Young Readers"</f>
        <v>Simon &amp; Schuster Books for Young Readers</v>
      </c>
      <c r="H1313" s="2" t="str">
        <f>"2017"</f>
        <v>2017</v>
      </c>
      <c r="I1313" s="3" t="str">
        <f>""</f>
        <v/>
      </c>
    </row>
    <row r="1314" spans="1:9" x14ac:dyDescent="0.3">
      <c r="A1314" s="2">
        <v>1313</v>
      </c>
      <c r="B1314" s="4" t="s">
        <v>27</v>
      </c>
      <c r="C1314" s="3" t="str">
        <f>"TFC000000901"</f>
        <v>TFC000000901</v>
      </c>
      <c r="D1314" s="3" t="str">
        <f>"F800-20-0988-(AR 2.6)"</f>
        <v>F800-20-0988-(AR 2.6)</v>
      </c>
      <c r="E1314" s="3" t="str">
        <f>"Froggy bakes a cake"</f>
        <v>Froggy bakes a cake</v>
      </c>
      <c r="F1314" s="3" t="str">
        <f>"by Jonathan London ; illustrated by Frank Remkiewicz"</f>
        <v>by Jonathan London ; illustrated by Frank Remkiewicz</v>
      </c>
      <c r="G1314" s="3" t="str">
        <f>"Scholastic"</f>
        <v>Scholastic</v>
      </c>
      <c r="H1314" s="2" t="str">
        <f>"2009"</f>
        <v>2009</v>
      </c>
      <c r="I1314" s="3" t="str">
        <f>""</f>
        <v/>
      </c>
    </row>
    <row r="1315" spans="1:9" x14ac:dyDescent="0.3">
      <c r="A1315" s="2">
        <v>1314</v>
      </c>
      <c r="B1315" s="4" t="s">
        <v>27</v>
      </c>
      <c r="C1315" s="3" t="str">
        <f>"TFC000000902"</f>
        <v>TFC000000902</v>
      </c>
      <c r="D1315" s="3" t="str">
        <f>"F800-20-0989-(AR 2.6)"</f>
        <v>F800-20-0989-(AR 2.6)</v>
      </c>
      <c r="E1315" s="3" t="str">
        <f>"Froggy's first kiss"</f>
        <v>Froggy's first kiss</v>
      </c>
      <c r="F1315" s="3" t="str">
        <f>"by Jonathan London ; illustrated by Frank Remkiewicz"</f>
        <v>by Jonathan London ; illustrated by Frank Remkiewicz</v>
      </c>
      <c r="G1315" s="3" t="str">
        <f>"Puffin Books"</f>
        <v>Puffin Books</v>
      </c>
      <c r="H1315" s="2" t="str">
        <f>"2000"</f>
        <v>2000</v>
      </c>
      <c r="I1315" s="3" t="str">
        <f>""</f>
        <v/>
      </c>
    </row>
    <row r="1316" spans="1:9" x14ac:dyDescent="0.3">
      <c r="A1316" s="2">
        <v>1315</v>
      </c>
      <c r="B1316" s="4" t="s">
        <v>27</v>
      </c>
      <c r="C1316" s="3" t="str">
        <f>"TFC000000903"</f>
        <v>TFC000000903</v>
      </c>
      <c r="D1316" s="3" t="str">
        <f>"F800-20-0990-(AR 2.6)"</f>
        <v>F800-20-0990-(AR 2.6)</v>
      </c>
      <c r="E1316" s="3" t="str">
        <f>"Bye-bye, Mom and Dad"</f>
        <v>Bye-bye, Mom and Dad</v>
      </c>
      <c r="F1316" s="3" t="str">
        <f>"by Mercer Mayer"</f>
        <v>by Mercer Mayer</v>
      </c>
      <c r="G1316" s="3" t="str">
        <f>"HarperFestival"</f>
        <v>HarperFestival</v>
      </c>
      <c r="H1316" s="2" t="str">
        <f>"2004"</f>
        <v>2004</v>
      </c>
      <c r="I1316" s="3" t="str">
        <f>""</f>
        <v/>
      </c>
    </row>
    <row r="1317" spans="1:9" x14ac:dyDescent="0.3">
      <c r="A1317" s="2">
        <v>1316</v>
      </c>
      <c r="B1317" s="4" t="s">
        <v>27</v>
      </c>
      <c r="C1317" s="3" t="str">
        <f>"TFC000000904"</f>
        <v>TFC000000904</v>
      </c>
      <c r="D1317" s="3" t="str">
        <f>"F800-20-0991-(AR 2.6)"</f>
        <v>F800-20-0991-(AR 2.6)</v>
      </c>
      <c r="E1317" s="3" t="str">
        <f>"Just a snowman"</f>
        <v>Just a snowman</v>
      </c>
      <c r="F1317" s="3" t="str">
        <f>"by Mercer Mayer"</f>
        <v>by Mercer Mayer</v>
      </c>
      <c r="G1317" s="3" t="str">
        <f>"HarperFestival"</f>
        <v>HarperFestival</v>
      </c>
      <c r="H1317" s="2" t="str">
        <f>"2004"</f>
        <v>2004</v>
      </c>
      <c r="I1317" s="3" t="str">
        <f>""</f>
        <v/>
      </c>
    </row>
    <row r="1318" spans="1:9" x14ac:dyDescent="0.3">
      <c r="A1318" s="2">
        <v>1317</v>
      </c>
      <c r="B1318" s="4" t="s">
        <v>27</v>
      </c>
      <c r="C1318" s="3" t="str">
        <f>"TFC000000905"</f>
        <v>TFC000000905</v>
      </c>
      <c r="D1318" s="3" t="str">
        <f>"F800-20-0992-(AR 2.6)"</f>
        <v>F800-20-0992-(AR 2.6)</v>
      </c>
      <c r="E1318" s="3" t="str">
        <f>"Bonjour, butterfly"</f>
        <v>Bonjour, butterfly</v>
      </c>
      <c r="F1318" s="3" t="str">
        <f>"Jane O'Connor ; Robin Preiss-Glasser"</f>
        <v>Jane O'Connor ; Robin Preiss-Glasser</v>
      </c>
      <c r="G1318" s="3" t="str">
        <f>"HarperCollinsPublishers"</f>
        <v>HarperCollinsPublishers</v>
      </c>
      <c r="H1318" s="2" t="str">
        <f>"2008"</f>
        <v>2008</v>
      </c>
      <c r="I1318" s="3" t="str">
        <f>""</f>
        <v/>
      </c>
    </row>
    <row r="1319" spans="1:9" x14ac:dyDescent="0.3">
      <c r="A1319" s="2">
        <v>1318</v>
      </c>
      <c r="B1319" s="4" t="s">
        <v>27</v>
      </c>
      <c r="C1319" s="3" t="str">
        <f>"TFC000000906"</f>
        <v>TFC000000906</v>
      </c>
      <c r="D1319" s="3" t="str">
        <f>"F800-20-0993-(AR 2.6)"</f>
        <v>F800-20-0993-(AR 2.6)</v>
      </c>
      <c r="E1319" s="3" t="str">
        <f>"Dinosaurs before dark"</f>
        <v>Dinosaurs before dark</v>
      </c>
      <c r="F1319" s="3" t="str">
        <f>"by Mary Pope Osborne ; illustrations by Sal Murdocca"</f>
        <v>by Mary Pope Osborne ; illustrations by Sal Murdocca</v>
      </c>
      <c r="G1319" s="3" t="str">
        <f>"Random House"</f>
        <v>Random House</v>
      </c>
      <c r="H1319" s="2" t="str">
        <f>"2012"</f>
        <v>2012</v>
      </c>
      <c r="I1319" s="3" t="str">
        <f>""</f>
        <v/>
      </c>
    </row>
    <row r="1320" spans="1:9" x14ac:dyDescent="0.3">
      <c r="A1320" s="2">
        <v>1319</v>
      </c>
      <c r="B1320" s="4" t="s">
        <v>27</v>
      </c>
      <c r="C1320" s="3" t="str">
        <f>"TFC000000908"</f>
        <v>TFC000000908</v>
      </c>
      <c r="D1320" s="3" t="str">
        <f>"F800-20-0995-(AR 2.6)"</f>
        <v>F800-20-0995-(AR 2.6)</v>
      </c>
      <c r="E1320" s="3" t="str">
        <f>"Tae kwon do test"</f>
        <v>Tae kwon do test</v>
      </c>
      <c r="F1320" s="3" t="str">
        <f>"by Cristina Oxtra ; illustrated by Amanda Erb"</f>
        <v>by Cristina Oxtra ; illustrated by Amanda Erb</v>
      </c>
      <c r="G1320" s="3" t="str">
        <f>"Picture Window Books"</f>
        <v>Picture Window Books</v>
      </c>
      <c r="H1320" s="2" t="str">
        <f>"2020"</f>
        <v>2020</v>
      </c>
      <c r="I1320" s="3" t="str">
        <f>""</f>
        <v/>
      </c>
    </row>
    <row r="1321" spans="1:9" x14ac:dyDescent="0.3">
      <c r="A1321" s="2">
        <v>1320</v>
      </c>
      <c r="B1321" s="4" t="s">
        <v>27</v>
      </c>
      <c r="C1321" s="3" t="str">
        <f>"TFC000000909"</f>
        <v>TFC000000909</v>
      </c>
      <c r="D1321" s="3" t="str">
        <f>"F800-20-0996-(AR 2.6)"</f>
        <v>F800-20-0996-(AR 2.6)</v>
      </c>
      <c r="E1321" s="3" t="str">
        <f>"Amelia Bedelia under construction"</f>
        <v>Amelia Bedelia under construction</v>
      </c>
      <c r="F1321" s="3" t="str">
        <f>"by Herman Parish, pictures by Lynn Sweat"</f>
        <v>by Herman Parish, pictures by Lynn Sweat</v>
      </c>
      <c r="G1321" s="3" t="str">
        <f>"HarperCollins"</f>
        <v>HarperCollins</v>
      </c>
      <c r="H1321" s="2" t="str">
        <f>"2006"</f>
        <v>2006</v>
      </c>
      <c r="I1321" s="3" t="str">
        <f>""</f>
        <v/>
      </c>
    </row>
    <row r="1322" spans="1:9" x14ac:dyDescent="0.3">
      <c r="A1322" s="2">
        <v>1321</v>
      </c>
      <c r="B1322" s="4" t="s">
        <v>27</v>
      </c>
      <c r="C1322" s="3" t="str">
        <f>"TFC000000912"</f>
        <v>TFC000000912</v>
      </c>
      <c r="D1322" s="3" t="str">
        <f>"F800-20-0999-(AR 2.6)"</f>
        <v>F800-20-0999-(AR 2.6)</v>
      </c>
      <c r="E1322" s="3" t="str">
        <f>"Cold little duck, duck, duck"</f>
        <v>Cold little duck, duck, duck</v>
      </c>
      <c r="F1322" s="3" t="str">
        <f>"by Lisa Westberg Peters ; pictures by Sam Williams"</f>
        <v>by Lisa Westberg Peters ; pictures by Sam Williams</v>
      </c>
      <c r="G1322" s="3" t="str">
        <f>"Greenwillow Books"</f>
        <v>Greenwillow Books</v>
      </c>
      <c r="H1322" s="2" t="str">
        <f>"2000"</f>
        <v>2000</v>
      </c>
      <c r="I1322" s="3" t="str">
        <f>""</f>
        <v/>
      </c>
    </row>
    <row r="1323" spans="1:9" x14ac:dyDescent="0.3">
      <c r="A1323" s="2">
        <v>1322</v>
      </c>
      <c r="B1323" s="4" t="s">
        <v>27</v>
      </c>
      <c r="C1323" s="3" t="str">
        <f>"TFC000000921"</f>
        <v>TFC000000921</v>
      </c>
      <c r="D1323" s="3" t="str">
        <f>"F800-20-1008-(AR 2.6)"</f>
        <v>F800-20-1008-(AR 2.6)</v>
      </c>
      <c r="E1323" s="3" t="str">
        <f>"Mr. Putter &amp; Tabby toot the horn"</f>
        <v>Mr. Putter &amp; Tabby toot the horn</v>
      </c>
      <c r="F1323" s="3" t="str">
        <f>"Cynthia Rylant ; illustrated by Arthur Howard"</f>
        <v>Cynthia Rylant ; illustrated by Arthur Howard</v>
      </c>
      <c r="G1323" s="3" t="str">
        <f>"Harcourt Mifflin Harcourt"</f>
        <v>Harcourt Mifflin Harcourt</v>
      </c>
      <c r="H1323" s="2" t="str">
        <f>"1998"</f>
        <v>1998</v>
      </c>
      <c r="I1323" s="3" t="str">
        <f>""</f>
        <v/>
      </c>
    </row>
    <row r="1324" spans="1:9" x14ac:dyDescent="0.3">
      <c r="A1324" s="2">
        <v>1323</v>
      </c>
      <c r="B1324" s="4" t="s">
        <v>27</v>
      </c>
      <c r="C1324" s="3" t="str">
        <f>"TFC000000923"</f>
        <v>TFC000000923</v>
      </c>
      <c r="D1324" s="3" t="str">
        <f>"F800-20-1010-(AR 2.6)"</f>
        <v>F800-20-1010-(AR 2.6)</v>
      </c>
      <c r="E1324" s="3" t="str">
        <f>"Never kick a ghost and other silly chillers"</f>
        <v>Never kick a ghost and other silly chillers</v>
      </c>
      <c r="F1324" s="3" t="str">
        <f>"by Judy Sierra ; pictures by Pascale Constantin"</f>
        <v>by Judy Sierra ; pictures by Pascale Constantin</v>
      </c>
      <c r="G1324" s="3" t="str">
        <f>"Harper"</f>
        <v>Harper</v>
      </c>
      <c r="H1324" s="2" t="str">
        <f>"2011"</f>
        <v>2011</v>
      </c>
      <c r="I1324" s="3" t="str">
        <f>""</f>
        <v/>
      </c>
    </row>
    <row r="1325" spans="1:9" x14ac:dyDescent="0.3">
      <c r="A1325" s="2">
        <v>1324</v>
      </c>
      <c r="B1325" s="4" t="s">
        <v>27</v>
      </c>
      <c r="C1325" s="3" t="str">
        <f>"TFC000000924"</f>
        <v>TFC000000924</v>
      </c>
      <c r="D1325" s="3" t="str">
        <f>"F800-20-1011-(AR 2.6)"</f>
        <v>F800-20-1011-(AR 2.6)</v>
      </c>
      <c r="E1325" s="3" t="str">
        <f>"Turkey's eggcellent Easter"</f>
        <v>Turkey's eggcellent Easter</v>
      </c>
      <c r="F1325" s="3" t="str">
        <f>"by Wendi Silvano ; illustrated by Lee Harper"</f>
        <v>by Wendi Silvano ; illustrated by Lee Harper</v>
      </c>
      <c r="G1325" s="3" t="str">
        <f>"Two Lions"</f>
        <v>Two Lions</v>
      </c>
      <c r="H1325" s="2" t="str">
        <f>"2019"</f>
        <v>2019</v>
      </c>
      <c r="I1325" s="3" t="str">
        <f>""</f>
        <v/>
      </c>
    </row>
    <row r="1326" spans="1:9" x14ac:dyDescent="0.3">
      <c r="A1326" s="2">
        <v>1325</v>
      </c>
      <c r="B1326" s="4" t="s">
        <v>27</v>
      </c>
      <c r="C1326" s="3" t="str">
        <f>"TFC000000925"</f>
        <v>TFC000000925</v>
      </c>
      <c r="D1326" s="3" t="str">
        <f>"F800-20-1012-(AR 2.6)"</f>
        <v>F800-20-1012-(AR 2.6)</v>
      </c>
      <c r="E1326" s="3" t="str">
        <f>"Big smelly bear"</f>
        <v>Big smelly bear</v>
      </c>
      <c r="F1326" s="3" t="str">
        <f>"Britta Teckentrup"</f>
        <v>Britta Teckentrup</v>
      </c>
      <c r="G1326" s="3" t="str">
        <f>"Boxer Books"</f>
        <v>Boxer Books</v>
      </c>
      <c r="H1326" s="2" t="str">
        <f>"2013"</f>
        <v>2013</v>
      </c>
      <c r="I1326" s="3" t="str">
        <f>""</f>
        <v/>
      </c>
    </row>
    <row r="1327" spans="1:9" x14ac:dyDescent="0.3">
      <c r="A1327" s="2">
        <v>1326</v>
      </c>
      <c r="B1327" s="4" t="s">
        <v>27</v>
      </c>
      <c r="C1327" s="3" t="str">
        <f>"TFC000000928"</f>
        <v>TFC000000928</v>
      </c>
      <c r="D1327" s="3" t="str">
        <f>"F800-20-1015-(AR 2.6)"</f>
        <v>F800-20-1015-(AR 2.6)</v>
      </c>
      <c r="E1327" s="3" t="str">
        <f>"Warning! : do not touch!"</f>
        <v>Warning! : do not touch!</v>
      </c>
      <c r="F1327" s="3" t="str">
        <f>"by Tim Warnes"</f>
        <v>by Tim Warnes</v>
      </c>
      <c r="G1327" s="3" t="str">
        <f>"Tiger Tales"</f>
        <v>Tiger Tales</v>
      </c>
      <c r="H1327" s="2" t="str">
        <f>"2016"</f>
        <v>2016</v>
      </c>
      <c r="I1327" s="3" t="str">
        <f>""</f>
        <v/>
      </c>
    </row>
    <row r="1328" spans="1:9" x14ac:dyDescent="0.3">
      <c r="A1328" s="2">
        <v>1327</v>
      </c>
      <c r="B1328" s="4" t="s">
        <v>27</v>
      </c>
      <c r="C1328" s="3" t="str">
        <f>"TFC000000930"</f>
        <v>TFC000000930</v>
      </c>
      <c r="D1328" s="3" t="str">
        <f>"F900-20-1029-(AR 2.6)"</f>
        <v>F900-20-1029-(AR 2.6)</v>
      </c>
      <c r="E1328" s="3" t="str">
        <f>"Rachel Carson"</f>
        <v>Rachel Carson</v>
      </c>
      <c r="F1328" s="3" t="str">
        <f>"by Justine Fontes, Ron Fontes"</f>
        <v>by Justine Fontes, Ron Fontes</v>
      </c>
      <c r="G1328" s="3" t="str">
        <f>"Children's Press"</f>
        <v>Children's Press</v>
      </c>
      <c r="H1328" s="2" t="str">
        <f>"2005"</f>
        <v>2005</v>
      </c>
      <c r="I1328" s="3" t="str">
        <f>""</f>
        <v/>
      </c>
    </row>
    <row r="1329" spans="1:9" x14ac:dyDescent="0.3">
      <c r="A1329" s="2">
        <v>1328</v>
      </c>
      <c r="B1329" s="4" t="s">
        <v>27</v>
      </c>
      <c r="C1329" s="3" t="str">
        <f>"TFC000003028"</f>
        <v>TFC000003028</v>
      </c>
      <c r="D1329" s="3" t="str">
        <f>"F800-20-1026-(AR 2.6)"</f>
        <v>F800-20-1026-(AR 2.6)</v>
      </c>
      <c r="E1329" s="3" t="str">
        <f>"Butterflies on the first day of school"</f>
        <v>Butterflies on the first day of school</v>
      </c>
      <c r="F1329" s="3" t="str">
        <f>"by Annie Silvestro ; illustrated by Dream Chen"</f>
        <v>by Annie Silvestro ; illustrated by Dream Chen</v>
      </c>
      <c r="G1329" s="3" t="str">
        <f>"Sterling Children's Books"</f>
        <v>Sterling Children's Books</v>
      </c>
      <c r="H1329" s="2" t="str">
        <f>"2019"</f>
        <v>2019</v>
      </c>
      <c r="I1329" s="3" t="str">
        <f>""</f>
        <v/>
      </c>
    </row>
    <row r="1330" spans="1:9" x14ac:dyDescent="0.3">
      <c r="A1330" s="2">
        <v>1329</v>
      </c>
      <c r="B1330" s="4" t="s">
        <v>27</v>
      </c>
      <c r="C1330" s="3" t="str">
        <f>"TFC000002839"</f>
        <v>TFC000002839</v>
      </c>
      <c r="D1330" s="3" t="str">
        <f>"F800-20-1017-(AR 2.6)"</f>
        <v>F800-20-1017-(AR 2.6)</v>
      </c>
      <c r="E1330" s="3" t="str">
        <f>"(A)dog with nice ears : featuring Charlie and Lola"</f>
        <v>(A)dog with nice ears : featuring Charlie and Lola</v>
      </c>
      <c r="F1330" s="3" t="str">
        <f>"Lauren Child"</f>
        <v>Lauren Child</v>
      </c>
      <c r="G1330" s="3" t="str">
        <f>"Orchard"</f>
        <v>Orchard</v>
      </c>
      <c r="H1330" s="2" t="str">
        <f>"2018"</f>
        <v>2018</v>
      </c>
      <c r="I1330" s="3" t="str">
        <f>""</f>
        <v/>
      </c>
    </row>
    <row r="1331" spans="1:9" x14ac:dyDescent="0.3">
      <c r="A1331" s="2">
        <v>1330</v>
      </c>
      <c r="B1331" s="4" t="s">
        <v>27</v>
      </c>
      <c r="C1331" s="3" t="str">
        <f>"TFC000002840"</f>
        <v>TFC000002840</v>
      </c>
      <c r="D1331" s="3" t="str">
        <f>"F800-20-1018-(AR 2.6)"</f>
        <v>F800-20-1018-(AR 2.6)</v>
      </c>
      <c r="E1331" s="3" t="str">
        <f>"(A)flag for all"</f>
        <v>(A)flag for all</v>
      </c>
      <c r="F1331" s="3" t="str">
        <f>"written by Larry Dane Brimner ; illustrated by Christine Tripp"</f>
        <v>written by Larry Dane Brimner ; illustrated by Christine Tripp</v>
      </c>
      <c r="G1331" s="3" t="str">
        <f>"Scholastic"</f>
        <v>Scholastic</v>
      </c>
      <c r="H1331" s="2" t="str">
        <f>"2002"</f>
        <v>2002</v>
      </c>
      <c r="I1331" s="3" t="str">
        <f>""</f>
        <v/>
      </c>
    </row>
    <row r="1332" spans="1:9" x14ac:dyDescent="0.3">
      <c r="A1332" s="2">
        <v>1331</v>
      </c>
      <c r="B1332" s="4" t="s">
        <v>27</v>
      </c>
      <c r="C1332" s="3" t="str">
        <f>"TFC000002841"</f>
        <v>TFC000002841</v>
      </c>
      <c r="D1332" s="3" t="str">
        <f>"F800-20-1019-(AR 2.6)"</f>
        <v>F800-20-1019-(AR 2.6)</v>
      </c>
      <c r="E1332" s="3" t="str">
        <f>"(A)grand old tree"</f>
        <v>(A)grand old tree</v>
      </c>
      <c r="F1332" s="3" t="str">
        <f>"by Mary Newell DePalma"</f>
        <v>by Mary Newell DePalma</v>
      </c>
      <c r="G1332" s="3" t="str">
        <f>"Arthur A. Levine Books"</f>
        <v>Arthur A. Levine Books</v>
      </c>
      <c r="H1332" s="2" t="str">
        <f>"2005"</f>
        <v>2005</v>
      </c>
      <c r="I1332" s="3" t="str">
        <f>""</f>
        <v/>
      </c>
    </row>
    <row r="1333" spans="1:9" x14ac:dyDescent="0.3">
      <c r="A1333" s="2">
        <v>1332</v>
      </c>
      <c r="B1333" s="4" t="s">
        <v>27</v>
      </c>
      <c r="C1333" s="3" t="str">
        <f>"TFC000002842"</f>
        <v>TFC000002842</v>
      </c>
      <c r="D1333" s="3" t="str">
        <f>"F800-20-1020-(AR 2.6)"</f>
        <v>F800-20-1020-(AR 2.6)</v>
      </c>
      <c r="E1333" s="3" t="str">
        <f>"(The)flying carpet"</f>
        <v>(The)flying carpet</v>
      </c>
      <c r="F1333" s="3" t="str">
        <f>"written by Roderick Hunt ; illustrated by Alex Brychta"</f>
        <v>written by Roderick Hunt ; illustrated by Alex Brychta</v>
      </c>
      <c r="G1333" s="3" t="str">
        <f>"Oxford University Press"</f>
        <v>Oxford University Press</v>
      </c>
      <c r="H1333" s="2" t="str">
        <f>"2011"</f>
        <v>2011</v>
      </c>
      <c r="I1333" s="3" t="str">
        <f>""</f>
        <v/>
      </c>
    </row>
    <row r="1334" spans="1:9" x14ac:dyDescent="0.3">
      <c r="A1334" s="2">
        <v>1333</v>
      </c>
      <c r="B1334" s="4" t="s">
        <v>27</v>
      </c>
      <c r="C1334" s="3" t="str">
        <f>"TFC000002843"</f>
        <v>TFC000002843</v>
      </c>
      <c r="D1334" s="3" t="str">
        <f>"F800-20-1021-(AR 2.6)"</f>
        <v>F800-20-1021-(AR 2.6)</v>
      </c>
      <c r="E1334" s="3" t="str">
        <f>"Ella Sarah gets dressed"</f>
        <v>Ella Sarah gets dressed</v>
      </c>
      <c r="F1334" s="3" t="str">
        <f>"by Margaret Chodos-Irvine"</f>
        <v>by Margaret Chodos-Irvine</v>
      </c>
      <c r="G1334" s="3" t="str">
        <f>"Harcourt"</f>
        <v>Harcourt</v>
      </c>
      <c r="H1334" s="2" t="str">
        <f>"2003"</f>
        <v>2003</v>
      </c>
      <c r="I1334" s="3" t="str">
        <f>""</f>
        <v/>
      </c>
    </row>
    <row r="1335" spans="1:9" x14ac:dyDescent="0.3">
      <c r="A1335" s="2">
        <v>1334</v>
      </c>
      <c r="B1335" s="4" t="s">
        <v>27</v>
      </c>
      <c r="C1335" s="3" t="str">
        <f>"TFC000002844"</f>
        <v>TFC000002844</v>
      </c>
      <c r="D1335" s="3" t="str">
        <f>"F400-20-0931-(AR 2.6)"</f>
        <v>F400-20-0931-(AR 2.6)</v>
      </c>
      <c r="E1335" s="3" t="str">
        <f>"Frogs!"</f>
        <v>Frogs!</v>
      </c>
      <c r="F1335" s="3" t="str">
        <f>"Elizabeth Carney"</f>
        <v>Elizabeth Carney</v>
      </c>
      <c r="G1335" s="3" t="str">
        <f>"Scholastic"</f>
        <v>Scholastic</v>
      </c>
      <c r="H1335" s="2" t="str">
        <f>"2010"</f>
        <v>2010</v>
      </c>
      <c r="I1335" s="3" t="str">
        <f>""</f>
        <v/>
      </c>
    </row>
    <row r="1336" spans="1:9" x14ac:dyDescent="0.3">
      <c r="A1336" s="2">
        <v>1335</v>
      </c>
      <c r="B1336" s="4" t="s">
        <v>27</v>
      </c>
      <c r="C1336" s="3" t="str">
        <f>"TFC000002846"</f>
        <v>TFC000002846</v>
      </c>
      <c r="D1336" s="3" t="str">
        <f>"F800-20-1022-(AR 2.6)"</f>
        <v>F800-20-1022-(AR 2.6)</v>
      </c>
      <c r="E1336" s="3" t="str">
        <f>"I am not sleepy and I will not go to bed"</f>
        <v>I am not sleepy and I will not go to bed</v>
      </c>
      <c r="F1336" s="3" t="str">
        <f>"Lauren Child"</f>
        <v>Lauren Child</v>
      </c>
      <c r="G1336" s="3" t="str">
        <f>"Orchard Books"</f>
        <v>Orchard Books</v>
      </c>
      <c r="H1336" s="2" t="str">
        <f>"2015"</f>
        <v>2015</v>
      </c>
      <c r="I1336" s="3" t="str">
        <f>""</f>
        <v/>
      </c>
    </row>
    <row r="1337" spans="1:9" x14ac:dyDescent="0.3">
      <c r="A1337" s="2">
        <v>1336</v>
      </c>
      <c r="B1337" s="4" t="s">
        <v>27</v>
      </c>
      <c r="C1337" s="3" t="str">
        <f>"TFC000002847"</f>
        <v>TFC000002847</v>
      </c>
      <c r="D1337" s="3" t="str">
        <f>"F800-20-1023-(AR 2.6)"</f>
        <v>F800-20-1023-(AR 2.6)</v>
      </c>
      <c r="E1337" s="3" t="str">
        <f>"Storm castle"</f>
        <v>Storm castle</v>
      </c>
      <c r="F1337" s="3" t="str">
        <f>"written by Roderick Hunt ; illustrated by Alex Brychta"</f>
        <v>written by Roderick Hunt ; illustrated by Alex Brychta</v>
      </c>
      <c r="G1337" s="3" t="str">
        <f>"Oxford University Press"</f>
        <v>Oxford University Press</v>
      </c>
      <c r="H1337" s="2" t="str">
        <f>"2011"</f>
        <v>2011</v>
      </c>
      <c r="I1337" s="3" t="str">
        <f>""</f>
        <v/>
      </c>
    </row>
    <row r="1338" spans="1:9" x14ac:dyDescent="0.3">
      <c r="A1338" s="2">
        <v>1337</v>
      </c>
      <c r="B1338" s="4" t="s">
        <v>27</v>
      </c>
      <c r="C1338" s="3" t="str">
        <f>"TFC000002945"</f>
        <v>TFC000002945</v>
      </c>
      <c r="D1338" s="3" t="str">
        <f>"F800-20-1024-(AR 2.6)"</f>
        <v>F800-20-1024-(AR 2.6)</v>
      </c>
      <c r="E1338" s="3" t="str">
        <f>"Busy boats"</f>
        <v>Busy boats</v>
      </c>
      <c r="F1338" s="3" t="str">
        <f>"Tony Mitton ; illustrated by Ant Parker"</f>
        <v>Tony Mitton ; illustrated by Ant Parker</v>
      </c>
      <c r="G1338" s="3" t="str">
        <f>"Kingfisher"</f>
        <v>Kingfisher</v>
      </c>
      <c r="H1338" s="2" t="str">
        <f>"2014"</f>
        <v>2014</v>
      </c>
      <c r="I1338" s="3" t="str">
        <f>""</f>
        <v/>
      </c>
    </row>
    <row r="1339" spans="1:9" x14ac:dyDescent="0.3">
      <c r="A1339" s="2">
        <v>1338</v>
      </c>
      <c r="B1339" s="4" t="s">
        <v>27</v>
      </c>
      <c r="C1339" s="3" t="str">
        <f>"TFC000002994"</f>
        <v>TFC000002994</v>
      </c>
      <c r="D1339" s="3" t="str">
        <f>"F800-20-1025-(AR 2.6)"</f>
        <v>F800-20-1025-(AR 2.6)</v>
      </c>
      <c r="E1339" s="3" t="str">
        <f>"(The)haunted backpack"</f>
        <v>(The)haunted backpack</v>
      </c>
      <c r="F1339" s="3" t="str">
        <f>"by Michael Dahl ; illustrated by Marilisa Cotroneo"</f>
        <v>by Michael Dahl ; illustrated by Marilisa Cotroneo</v>
      </c>
      <c r="G1339" s="3" t="str">
        <f>"Picture Window Books"</f>
        <v>Picture Window Books</v>
      </c>
      <c r="H1339" s="2" t="str">
        <f>"2020"</f>
        <v>2020</v>
      </c>
      <c r="I1339" s="3" t="str">
        <f>""</f>
        <v/>
      </c>
    </row>
    <row r="1340" spans="1:9" x14ac:dyDescent="0.3">
      <c r="A1340" s="2">
        <v>1339</v>
      </c>
      <c r="B1340" s="4" t="s">
        <v>27</v>
      </c>
      <c r="C1340" s="3" t="str">
        <f>"TFC000003029"</f>
        <v>TFC000003029</v>
      </c>
      <c r="D1340" s="3" t="str">
        <f>"F800-20-1027-(AR 2.6)"</f>
        <v>F800-20-1027-(AR 2.6)</v>
      </c>
      <c r="E1340" s="3" t="str">
        <f>"Moldilocks and the three scares : a zombie tale"</f>
        <v>Moldilocks and the three scares : a zombie tale</v>
      </c>
      <c r="F1340" s="3" t="str">
        <f>"by Lynne Marie ; illustrated by David Rodriguez Lorenzo"</f>
        <v>by Lynne Marie ; illustrated by David Rodriguez Lorenzo</v>
      </c>
      <c r="G1340" s="3" t="str">
        <f>"Sterling Children's Books"</f>
        <v>Sterling Children's Books</v>
      </c>
      <c r="H1340" s="2" t="str">
        <f>"2019"</f>
        <v>2019</v>
      </c>
      <c r="I1340" s="3" t="str">
        <f>""</f>
        <v/>
      </c>
    </row>
    <row r="1341" spans="1:9" x14ac:dyDescent="0.3">
      <c r="A1341" s="2">
        <v>1340</v>
      </c>
      <c r="B1341" s="4" t="s">
        <v>27</v>
      </c>
      <c r="C1341" s="3" t="str">
        <f>"TFC000003033"</f>
        <v>TFC000003033</v>
      </c>
      <c r="D1341" s="3" t="str">
        <f>"F800-20-1028-(AR 2.6)"</f>
        <v>F800-20-1028-(AR 2.6)</v>
      </c>
      <c r="E1341" s="3" t="str">
        <f>"Fancy Nancy and the quest for the unicorn"</f>
        <v>Fancy Nancy and the quest for the unicorn</v>
      </c>
      <c r="F1341" s="3" t="str">
        <f>"based on fancy nancy written by Jane O'Connor ; cover illuatrations by Robin Preiss Glasser ; interior illuatrations by Carolyn Bracken"</f>
        <v>based on fancy nancy written by Jane O'Connor ; cover illuatrations by Robin Preiss Glasser ; interior illuatrations by Carolyn Bracken</v>
      </c>
      <c r="G1341" s="3" t="str">
        <f>"HarperFestival"</f>
        <v>HarperFestival</v>
      </c>
      <c r="H1341" s="2" t="str">
        <f>"2018"</f>
        <v>2018</v>
      </c>
      <c r="I1341" s="3" t="str">
        <f>""</f>
        <v/>
      </c>
    </row>
    <row r="1342" spans="1:9" x14ac:dyDescent="0.3">
      <c r="A1342" s="2">
        <v>1341</v>
      </c>
      <c r="B1342" s="4" t="s">
        <v>27</v>
      </c>
      <c r="C1342" s="3" t="str">
        <f>"TFC000003219"</f>
        <v>TFC000003219</v>
      </c>
      <c r="D1342" s="3" t="str">
        <f>"F800-21-0297-(AR 2.6)"</f>
        <v>F800-21-0297-(AR 2.6)</v>
      </c>
      <c r="E1342" s="3" t="str">
        <f>"Curious George visits a toy store"</f>
        <v>Curious George visits a toy store</v>
      </c>
      <c r="F1342" s="3" t="str">
        <f>"based on the character of Curious George created by Margret &amp; H.A. Rey ; illustrated in the style of H.A. Rey by Vipah Interactive"</f>
        <v>based on the character of Curious George created by Margret &amp; H.A. Rey ; illustrated in the style of H.A. Rey by Vipah Interactive</v>
      </c>
      <c r="G1342" s="3" t="str">
        <f>"Houghton Mifflin"</f>
        <v>Houghton Mifflin</v>
      </c>
      <c r="H1342" s="2" t="str">
        <f>"2002"</f>
        <v>2002</v>
      </c>
      <c r="I1342" s="3" t="str">
        <f>""</f>
        <v/>
      </c>
    </row>
    <row r="1343" spans="1:9" x14ac:dyDescent="0.3">
      <c r="A1343" s="2">
        <v>1342</v>
      </c>
      <c r="B1343" s="4" t="s">
        <v>27</v>
      </c>
      <c r="C1343" s="3" t="str">
        <f>"TFC000003231"</f>
        <v>TFC000003231</v>
      </c>
      <c r="D1343" s="3" t="str">
        <f>"F800-21-0298-(AR 2.6)"</f>
        <v>F800-21-0298-(AR 2.6)</v>
      </c>
      <c r="E1343" s="3" t="str">
        <f>"Babe Ruth Saves Baseball!"</f>
        <v>Babe Ruth Saves Baseball!</v>
      </c>
      <c r="F1343" s="3" t="str">
        <f>"by Frank Murphy ; illustrated by Richard Walz"</f>
        <v>by Frank Murphy ; illustrated by Richard Walz</v>
      </c>
      <c r="G1343" s="3" t="str">
        <f>"Random House"</f>
        <v>Random House</v>
      </c>
      <c r="H1343" s="2" t="str">
        <f>"2005"</f>
        <v>2005</v>
      </c>
      <c r="I1343" s="3" t="str">
        <f>""</f>
        <v/>
      </c>
    </row>
    <row r="1344" spans="1:9" x14ac:dyDescent="0.3">
      <c r="A1344" s="2">
        <v>1343</v>
      </c>
      <c r="B1344" s="4" t="s">
        <v>27</v>
      </c>
      <c r="C1344" s="3" t="str">
        <f>"TFC000003324"</f>
        <v>TFC000003324</v>
      </c>
      <c r="D1344" s="3" t="str">
        <f>"F100-21-0292-(AR 2.6)"</f>
        <v>F100-21-0292-(AR 2.6)</v>
      </c>
      <c r="E1344" s="3" t="str">
        <f>"When things get tough : overcoming obstacles"</f>
        <v>When things get tough : overcoming obstacles</v>
      </c>
      <c r="F1344" s="3" t="str">
        <f>"by Alyssa Krekelberg"</f>
        <v>by Alyssa Krekelberg</v>
      </c>
      <c r="G1344" s="3" t="str">
        <f>"The Child's World"</f>
        <v>The Child's World</v>
      </c>
      <c r="H1344" s="2" t="str">
        <f>"2021"</f>
        <v>2021</v>
      </c>
      <c r="I1344" s="3" t="str">
        <f>""</f>
        <v/>
      </c>
    </row>
    <row r="1345" spans="1:9" x14ac:dyDescent="0.3">
      <c r="A1345" s="2">
        <v>1344</v>
      </c>
      <c r="B1345" s="4" t="s">
        <v>27</v>
      </c>
      <c r="C1345" s="3" t="str">
        <f>"TFC000004044"</f>
        <v>TFC000004044</v>
      </c>
      <c r="D1345" s="3" t="str">
        <f>"F400-21-0295-(AR 2.6)"</f>
        <v>F400-21-0295-(AR 2.6)</v>
      </c>
      <c r="E1345" s="3" t="str">
        <f>"(All about)Baby Koalas"</f>
        <v>(All about)Baby Koalas</v>
      </c>
      <c r="F1345" s="3" t="str">
        <f>"by Martha E. H. Rustad"</f>
        <v>by Martha E. H. Rustad</v>
      </c>
      <c r="G1345" s="3" t="str">
        <f>"Pebble"</f>
        <v>Pebble</v>
      </c>
      <c r="H1345" s="2" t="str">
        <f>"2021"</f>
        <v>2021</v>
      </c>
      <c r="I1345" s="3" t="str">
        <f>""</f>
        <v/>
      </c>
    </row>
    <row r="1346" spans="1:9" x14ac:dyDescent="0.3">
      <c r="A1346" s="2">
        <v>1345</v>
      </c>
      <c r="B1346" s="4" t="s">
        <v>27</v>
      </c>
      <c r="C1346" s="3" t="str">
        <f>"TFC000004043"</f>
        <v>TFC000004043</v>
      </c>
      <c r="D1346" s="3" t="str">
        <f>"F800-21-0318-(AR 2.6)"</f>
        <v>F800-21-0318-(AR 2.6)</v>
      </c>
      <c r="E1346" s="3" t="str">
        <f>"(The)Lemonade stand"</f>
        <v>(The)Lemonade stand</v>
      </c>
      <c r="F1346" s="3" t="str">
        <f>"by C. L. Reid, illustrated by Elena Aiello"</f>
        <v>by C. L. Reid, illustrated by Elena Aiello</v>
      </c>
      <c r="G1346" s="3" t="str">
        <f>"Picture Window Books"</f>
        <v>Picture Window Books</v>
      </c>
      <c r="H1346" s="2" t="str">
        <f>"2021"</f>
        <v>2021</v>
      </c>
      <c r="I1346" s="3" t="str">
        <f>""</f>
        <v/>
      </c>
    </row>
    <row r="1347" spans="1:9" x14ac:dyDescent="0.3">
      <c r="A1347" s="2">
        <v>1346</v>
      </c>
      <c r="B1347" s="4" t="s">
        <v>27</v>
      </c>
      <c r="C1347" s="3" t="str">
        <f>"TFC000004042"</f>
        <v>TFC000004042</v>
      </c>
      <c r="D1347" s="3" t="str">
        <f>"F800-21-0317-(AR 2.6)"</f>
        <v>F800-21-0317-(AR 2.6)</v>
      </c>
      <c r="E1347" s="3" t="str">
        <f>"Absolutely Nat"</f>
        <v>Absolutely Nat</v>
      </c>
      <c r="F1347" s="3" t="str">
        <f>"Maria Scrivan."</f>
        <v>Maria Scrivan.</v>
      </c>
      <c r="G1347" s="3" t="str">
        <f>"GRAPHIX, an imprint of Scholastic"</f>
        <v>GRAPHIX, an imprint of Scholastic</v>
      </c>
      <c r="H1347" s="2" t="str">
        <f>"2021"</f>
        <v>2021</v>
      </c>
      <c r="I1347" s="3" t="str">
        <f>""</f>
        <v/>
      </c>
    </row>
    <row r="1348" spans="1:9" x14ac:dyDescent="0.3">
      <c r="A1348" s="2">
        <v>1347</v>
      </c>
      <c r="B1348" s="4" t="s">
        <v>27</v>
      </c>
      <c r="C1348" s="3" t="str">
        <f>"TFC000003488"</f>
        <v>TFC000003488</v>
      </c>
      <c r="D1348" s="3" t="str">
        <f>"F800-21-0299-(AR 2.6)"</f>
        <v>F800-21-0299-(AR 2.6)</v>
      </c>
      <c r="E1348" s="3" t="str">
        <f>"Rabbit &amp; robot and ribbit"</f>
        <v>Rabbit &amp; robot and ribbit</v>
      </c>
      <c r="F1348" s="3" t="str">
        <f>"by Cece Bell"</f>
        <v>by Cece Bell</v>
      </c>
      <c r="G1348" s="3" t="str">
        <f>"Candlewick Press"</f>
        <v>Candlewick Press</v>
      </c>
      <c r="H1348" s="2" t="str">
        <f>"2017"</f>
        <v>2017</v>
      </c>
      <c r="I1348" s="3" t="str">
        <f>""</f>
        <v/>
      </c>
    </row>
    <row r="1349" spans="1:9" x14ac:dyDescent="0.3">
      <c r="A1349" s="2">
        <v>1348</v>
      </c>
      <c r="B1349" s="4" t="s">
        <v>27</v>
      </c>
      <c r="C1349" s="3" t="str">
        <f>"TFC000003514"</f>
        <v>TFC000003514</v>
      </c>
      <c r="D1349" s="3" t="str">
        <f>"F800-21-0300-(AR 2.6)"</f>
        <v>F800-21-0300-(AR 2.6)</v>
      </c>
      <c r="E1349" s="3" t="str">
        <f>"Isadora Moon has a sleepover"</f>
        <v>Isadora Moon has a sleepover</v>
      </c>
      <c r="F1349" s="3" t="str">
        <f>"by Harriet Muncaster"</f>
        <v>by Harriet Muncaster</v>
      </c>
      <c r="G1349" s="3" t="str">
        <f>"Random House"</f>
        <v>Random House</v>
      </c>
      <c r="H1349" s="2" t="str">
        <f>"2020"</f>
        <v>2020</v>
      </c>
      <c r="I1349" s="3" t="str">
        <f>""</f>
        <v/>
      </c>
    </row>
    <row r="1350" spans="1:9" x14ac:dyDescent="0.3">
      <c r="A1350" s="2">
        <v>1349</v>
      </c>
      <c r="B1350" s="4" t="s">
        <v>27</v>
      </c>
      <c r="C1350" s="3" t="str">
        <f>"TFC000003547"</f>
        <v>TFC000003547</v>
      </c>
      <c r="D1350" s="3" t="str">
        <f>"F800-21-0301-(AR 2.6)"</f>
        <v>F800-21-0301-(AR 2.6)</v>
      </c>
      <c r="E1350" s="3" t="str">
        <f>"Game over"</f>
        <v>Game over</v>
      </c>
      <c r="F1350" s="3" t="str">
        <f>"by Benjamin Bird ; illustrated by Patrycja Fabicka"</f>
        <v>by Benjamin Bird ; illustrated by Patrycja Fabicka</v>
      </c>
      <c r="G1350" s="3" t="str">
        <f>"Picture Window Books"</f>
        <v>Picture Window Books</v>
      </c>
      <c r="H1350" s="2" t="str">
        <f>"2021"</f>
        <v>2021</v>
      </c>
      <c r="I1350" s="3" t="str">
        <f>""</f>
        <v/>
      </c>
    </row>
    <row r="1351" spans="1:9" x14ac:dyDescent="0.3">
      <c r="A1351" s="2">
        <v>1350</v>
      </c>
      <c r="B1351" s="4" t="s">
        <v>27</v>
      </c>
      <c r="C1351" s="3" t="str">
        <f>"TFC000003693"</f>
        <v>TFC000003693</v>
      </c>
      <c r="D1351" s="3" t="str">
        <f>"F800-21-0303-(AR 2.6)"</f>
        <v>F800-21-0303-(AR 2.6)</v>
      </c>
      <c r="E1351" s="3" t="str">
        <f>"Dragonslayer"</f>
        <v>Dragonslayer</v>
      </c>
      <c r="F1351" s="3" t="str">
        <f>"by Jennifer L. Holm, Matthew Holm"</f>
        <v>by Jennifer L. Holm, Matthew Holm</v>
      </c>
      <c r="G1351" s="3" t="str">
        <f>"Random House"</f>
        <v>Random House</v>
      </c>
      <c r="H1351" s="2" t="str">
        <f>"2009"</f>
        <v>2009</v>
      </c>
      <c r="I1351" s="3" t="str">
        <f>""</f>
        <v/>
      </c>
    </row>
    <row r="1352" spans="1:9" x14ac:dyDescent="0.3">
      <c r="A1352" s="2">
        <v>1351</v>
      </c>
      <c r="B1352" s="4" t="s">
        <v>27</v>
      </c>
      <c r="C1352" s="3" t="str">
        <f>"TFC000003695"</f>
        <v>TFC000003695</v>
      </c>
      <c r="D1352" s="3" t="str">
        <f>"F800-21-0304-(AR 2.6)"</f>
        <v>F800-21-0304-(AR 2.6)</v>
      </c>
      <c r="E1352" s="3" t="str">
        <f>"Mad scientist"</f>
        <v>Mad scientist</v>
      </c>
      <c r="F1352" s="3" t="str">
        <f>"by Jennifer L. Holm, Matthew Holm"</f>
        <v>by Jennifer L. Holm, Matthew Holm</v>
      </c>
      <c r="G1352" s="3" t="str">
        <f>"Random House"</f>
        <v>Random House</v>
      </c>
      <c r="H1352" s="2" t="str">
        <f>"2010"</f>
        <v>2010</v>
      </c>
      <c r="I1352" s="3" t="str">
        <f>""</f>
        <v/>
      </c>
    </row>
    <row r="1353" spans="1:9" x14ac:dyDescent="0.3">
      <c r="A1353" s="2">
        <v>1352</v>
      </c>
      <c r="B1353" s="4" t="s">
        <v>27</v>
      </c>
      <c r="C1353" s="3" t="str">
        <f>"TFC000003753"</f>
        <v>TFC000003753</v>
      </c>
      <c r="D1353" s="3" t="str">
        <f>"F800-21-0307-(AR 2.6)"</f>
        <v>F800-21-0307-(AR 2.6)</v>
      </c>
      <c r="E1353" s="3" t="str">
        <f>"(The)school play from the black lagoon"</f>
        <v>(The)school play from the black lagoon</v>
      </c>
      <c r="F1353" s="3" t="str">
        <f>"by Mike Thaler ; illustraed by Jared lee"</f>
        <v>by Mike Thaler ; illustraed by Jared lee</v>
      </c>
      <c r="G1353" s="3" t="str">
        <f>"Scholastic"</f>
        <v>Scholastic</v>
      </c>
      <c r="H1353" s="2" t="str">
        <f>"2011"</f>
        <v>2011</v>
      </c>
      <c r="I1353" s="3" t="str">
        <f>""</f>
        <v/>
      </c>
    </row>
    <row r="1354" spans="1:9" x14ac:dyDescent="0.3">
      <c r="A1354" s="2">
        <v>1353</v>
      </c>
      <c r="B1354" s="4" t="s">
        <v>27</v>
      </c>
      <c r="C1354" s="3" t="str">
        <f>"TFC000003744"</f>
        <v>TFC000003744</v>
      </c>
      <c r="D1354" s="3" t="str">
        <f>"F800-21-0305-(AR 2.6)"</f>
        <v>F800-21-0305-(AR 2.6)</v>
      </c>
      <c r="E1354" s="3" t="str">
        <f>"(The)snow day from the black lagoon"</f>
        <v>(The)snow day from the black lagoon</v>
      </c>
      <c r="F1354" s="3" t="str">
        <f>"by Mike Thaler ; illustraed by Jared lee"</f>
        <v>by Mike Thaler ; illustraed by Jared lee</v>
      </c>
      <c r="G1354" s="3" t="str">
        <f>"Scholastic"</f>
        <v>Scholastic</v>
      </c>
      <c r="H1354" s="2" t="str">
        <f>"2008"</f>
        <v>2008</v>
      </c>
      <c r="I1354" s="3" t="str">
        <f>""</f>
        <v/>
      </c>
    </row>
    <row r="1355" spans="1:9" x14ac:dyDescent="0.3">
      <c r="A1355" s="2">
        <v>1354</v>
      </c>
      <c r="B1355" s="4" t="s">
        <v>27</v>
      </c>
      <c r="C1355" s="3" t="str">
        <f>"TFC000003755"</f>
        <v>TFC000003755</v>
      </c>
      <c r="D1355" s="3" t="str">
        <f>"F800-21-0308-(AR 2.6)"</f>
        <v>F800-21-0308-(AR 2.6)</v>
      </c>
      <c r="E1355" s="3" t="str">
        <f>"(The)class picture day from the black lagoon"</f>
        <v>(The)class picture day from the black lagoon</v>
      </c>
      <c r="F1355" s="3" t="str">
        <f>"by Mike Thaler ; illustraed by Jared lee"</f>
        <v>by Mike Thaler ; illustraed by Jared lee</v>
      </c>
      <c r="G1355" s="3" t="str">
        <f>"Scholastic"</f>
        <v>Scholastic</v>
      </c>
      <c r="H1355" s="2" t="str">
        <f>"2012"</f>
        <v>2012</v>
      </c>
      <c r="I1355" s="3" t="str">
        <f>""</f>
        <v/>
      </c>
    </row>
    <row r="1356" spans="1:9" x14ac:dyDescent="0.3">
      <c r="A1356" s="2">
        <v>1355</v>
      </c>
      <c r="B1356" s="4" t="s">
        <v>27</v>
      </c>
      <c r="C1356" s="3" t="str">
        <f>"TFC000003760"</f>
        <v>TFC000003760</v>
      </c>
      <c r="D1356" s="3" t="str">
        <f>"F800-21-0309-(AR 2.6)"</f>
        <v>F800-21-0309-(AR 2.6)</v>
      </c>
      <c r="E1356" s="3" t="str">
        <f>"(The)amusement park from the black lagoon"</f>
        <v>(The)amusement park from the black lagoon</v>
      </c>
      <c r="F1356" s="3" t="str">
        <f>"by Mike Thaler ; illustraed by Jared lee"</f>
        <v>by Mike Thaler ; illustraed by Jared lee</v>
      </c>
      <c r="G1356" s="3" t="str">
        <f>"Scholastic"</f>
        <v>Scholastic</v>
      </c>
      <c r="H1356" s="2" t="str">
        <f>"2014"</f>
        <v>2014</v>
      </c>
      <c r="I1356" s="3" t="str">
        <f>""</f>
        <v/>
      </c>
    </row>
    <row r="1357" spans="1:9" x14ac:dyDescent="0.3">
      <c r="A1357" s="2">
        <v>1356</v>
      </c>
      <c r="B1357" s="4" t="s">
        <v>27</v>
      </c>
      <c r="C1357" s="3" t="str">
        <f>"TFC000003767"</f>
        <v>TFC000003767</v>
      </c>
      <c r="D1357" s="3" t="str">
        <f>"F800-21-0310-(AR 2.6)"</f>
        <v>F800-21-0310-(AR 2.6)</v>
      </c>
      <c r="E1357" s="3" t="str">
        <f>"Mouse and mole fine feathered friends"</f>
        <v>Mouse and mole fine feathered friends</v>
      </c>
      <c r="F1357" s="3" t="str">
        <f>"by Wong Herbert Yee"</f>
        <v>by Wong Herbert Yee</v>
      </c>
      <c r="G1357" s="3" t="str">
        <f>"Sandpiper"</f>
        <v>Sandpiper</v>
      </c>
      <c r="H1357" s="2" t="str">
        <f>"2009"</f>
        <v>2009</v>
      </c>
      <c r="I1357" s="3" t="str">
        <f>""</f>
        <v/>
      </c>
    </row>
    <row r="1358" spans="1:9" x14ac:dyDescent="0.3">
      <c r="A1358" s="2">
        <v>1357</v>
      </c>
      <c r="B1358" s="4" t="s">
        <v>27</v>
      </c>
      <c r="C1358" s="3" t="str">
        <f>"TFC000003789"</f>
        <v>TFC000003789</v>
      </c>
      <c r="D1358" s="3" t="str">
        <f>"F800-21-0311-(AR 2.6)"</f>
        <v>F800-21-0311-(AR 2.6)</v>
      </c>
      <c r="E1358" s="3" t="str">
        <f>"Magic Bone. 1, Be careful what you sniff for"</f>
        <v>Magic Bone. 1, Be careful what you sniff for</v>
      </c>
      <c r="F1358" s="3" t="str">
        <f>"by Nancy Krulik ; illustrated by Sevastien Braun"</f>
        <v>by Nancy Krulik ; illustrated by Sevastien Braun</v>
      </c>
      <c r="G1358" s="3" t="str">
        <f>"Grosset ＆ Dunlap"</f>
        <v>Grosset ＆ Dunlap</v>
      </c>
      <c r="H1358" s="2" t="str">
        <f>"2013"</f>
        <v>2013</v>
      </c>
      <c r="I1358" s="3" t="str">
        <f>""</f>
        <v/>
      </c>
    </row>
    <row r="1359" spans="1:9" x14ac:dyDescent="0.3">
      <c r="A1359" s="2">
        <v>1358</v>
      </c>
      <c r="B1359" s="4" t="s">
        <v>27</v>
      </c>
      <c r="C1359" s="3" t="str">
        <f>"TFC000003977"</f>
        <v>TFC000003977</v>
      </c>
      <c r="D1359" s="3" t="str">
        <f>"F400-21-0293-(AR 2.6)"</f>
        <v>F400-21-0293-(AR 2.6)</v>
      </c>
      <c r="E1359" s="3" t="str">
        <f>"All about baby flamingos"</f>
        <v>All about baby flamingos</v>
      </c>
      <c r="F1359" s="3" t="str">
        <f>"by Martha E.H. Rustad"</f>
        <v>by Martha E.H. Rustad</v>
      </c>
      <c r="G1359" s="3" t="str">
        <f>"Pebble"</f>
        <v>Pebble</v>
      </c>
      <c r="H1359" s="2" t="str">
        <f>"2022"</f>
        <v>2022</v>
      </c>
      <c r="I1359" s="3" t="str">
        <f>""</f>
        <v/>
      </c>
    </row>
    <row r="1360" spans="1:9" x14ac:dyDescent="0.3">
      <c r="A1360" s="2">
        <v>1359</v>
      </c>
      <c r="B1360" s="4" t="s">
        <v>27</v>
      </c>
      <c r="C1360" s="3" t="str">
        <f>"TFC000003978"</f>
        <v>TFC000003978</v>
      </c>
      <c r="D1360" s="3" t="str">
        <f>"F400-21-0294-(AR 2.6)"</f>
        <v>F400-21-0294-(AR 2.6)</v>
      </c>
      <c r="E1360" s="3" t="str">
        <f>"All about baby cheetahs"</f>
        <v>All about baby cheetahs</v>
      </c>
      <c r="F1360" s="3" t="str">
        <f>"by Martha E.H. Rustad"</f>
        <v>by Martha E.H. Rustad</v>
      </c>
      <c r="G1360" s="3" t="str">
        <f>"Pebble"</f>
        <v>Pebble</v>
      </c>
      <c r="H1360" s="2" t="str">
        <f>"2022"</f>
        <v>2022</v>
      </c>
      <c r="I1360" s="3" t="str">
        <f>""</f>
        <v/>
      </c>
    </row>
    <row r="1361" spans="1:9" x14ac:dyDescent="0.3">
      <c r="A1361" s="2">
        <v>1360</v>
      </c>
      <c r="B1361" s="4" t="s">
        <v>27</v>
      </c>
      <c r="C1361" s="3" t="str">
        <f>"TFC000003979"</f>
        <v>TFC000003979</v>
      </c>
      <c r="D1361" s="3" t="str">
        <f>"F800-21-0316-(AR 2.6)"</f>
        <v>F800-21-0316-(AR 2.6)</v>
      </c>
      <c r="E1361" s="3" t="str">
        <f>"Magic Pickle"</f>
        <v>Magic Pickle</v>
      </c>
      <c r="F1361" s="3" t="str">
        <f>"by Scott Morse, with color by Jose Garibaldi"</f>
        <v>by Scott Morse, with color by Jose Garibaldi</v>
      </c>
      <c r="G1361" s="3" t="str">
        <f>"Graphix"</f>
        <v>Graphix</v>
      </c>
      <c r="H1361" s="2" t="str">
        <f>"2008."</f>
        <v>2008.</v>
      </c>
      <c r="I1361" s="3" t="str">
        <f>""</f>
        <v/>
      </c>
    </row>
    <row r="1362" spans="1:9" x14ac:dyDescent="0.3">
      <c r="A1362" s="2">
        <v>1361</v>
      </c>
      <c r="B1362" s="4" t="s">
        <v>27</v>
      </c>
      <c r="C1362" s="3" t="str">
        <f>"TFC000004045"</f>
        <v>TFC000004045</v>
      </c>
      <c r="D1362" s="3" t="str">
        <f>"F400-21-0296-(AR 2.6)"</f>
        <v>F400-21-0296-(AR 2.6)</v>
      </c>
      <c r="E1362" s="3" t="str">
        <f>"(All about)Baby Dolphins"</f>
        <v>(All about)Baby Dolphins</v>
      </c>
      <c r="F1362" s="3" t="str">
        <f>"by Martha E. H. Rustad"</f>
        <v>by Martha E. H. Rustad</v>
      </c>
      <c r="G1362" s="3" t="str">
        <f>"Pebble"</f>
        <v>Pebble</v>
      </c>
      <c r="H1362" s="2" t="str">
        <f>"2021"</f>
        <v>2021</v>
      </c>
      <c r="I1362" s="3" t="str">
        <f>""</f>
        <v/>
      </c>
    </row>
    <row r="1363" spans="1:9" x14ac:dyDescent="0.3">
      <c r="A1363" s="2">
        <v>1362</v>
      </c>
      <c r="B1363" s="4" t="s">
        <v>27</v>
      </c>
      <c r="C1363" s="3" t="str">
        <f>"TFC000004046"</f>
        <v>TFC000004046</v>
      </c>
      <c r="D1363" s="3" t="str">
        <f>"F800-21-0319-(AR 2.6)"</f>
        <v>F800-21-0319-(AR 2.6)</v>
      </c>
      <c r="E1363" s="3" t="str">
        <f>"(The)World Needs Who You Were Made to Be"</f>
        <v>(The)World Needs Who You Were Made to Be</v>
      </c>
      <c r="F1363" s="3" t="str">
        <f>"by Joanna Gaines"</f>
        <v>by Joanna Gaines</v>
      </c>
      <c r="G1363" s="3" t="str">
        <f>"Thomas Nelson"</f>
        <v>Thomas Nelson</v>
      </c>
      <c r="H1363" s="2" t="str">
        <f>"2020"</f>
        <v>2020</v>
      </c>
      <c r="I1363" s="3" t="str">
        <f>""</f>
        <v/>
      </c>
    </row>
    <row r="1364" spans="1:9" x14ac:dyDescent="0.3">
      <c r="A1364" s="2">
        <v>1363</v>
      </c>
      <c r="B1364" s="4" t="s">
        <v>27</v>
      </c>
      <c r="C1364" s="3" t="str">
        <f>"TFC000004149"</f>
        <v>TFC000004149</v>
      </c>
      <c r="D1364" s="3" t="str">
        <f>"F800-21-0321-(AR 2.6)"</f>
        <v>F800-21-0321-(AR 2.6)</v>
      </c>
      <c r="E1364" s="3" t="str">
        <f>"Bee-bim Bop!"</f>
        <v>Bee-bim Bop!</v>
      </c>
      <c r="F1364" s="3" t="str">
        <f>"by LInda Sue Park, illustrated by by Ho Baek Lee"</f>
        <v>by LInda Sue Park, illustrated by by Ho Baek Lee</v>
      </c>
      <c r="G1364" s="3" t="str">
        <f>"Sandpiper"</f>
        <v>Sandpiper</v>
      </c>
      <c r="H1364" s="2" t="str">
        <f>"2004"</f>
        <v>2004</v>
      </c>
      <c r="I1364" s="3" t="str">
        <f>""</f>
        <v/>
      </c>
    </row>
    <row r="1365" spans="1:9" x14ac:dyDescent="0.3">
      <c r="A1365" s="2">
        <v>1364</v>
      </c>
      <c r="B1365" s="4" t="s">
        <v>27</v>
      </c>
      <c r="C1365" s="3" t="str">
        <f>"TFC000004276"</f>
        <v>TFC000004276</v>
      </c>
      <c r="D1365" s="3" t="str">
        <f>"F800-22-0011-(AR 2.6)=2"</f>
        <v>F800-22-0011-(AR 2.6)=2</v>
      </c>
      <c r="E1365" s="3" t="str">
        <f>"Press Start!. 8, Super Rabbit All-Stars!"</f>
        <v>Press Start!. 8, Super Rabbit All-Stars!</v>
      </c>
      <c r="F1365" s="3" t="str">
        <f>"by Thomas Flintham"</f>
        <v>by Thomas Flintham</v>
      </c>
      <c r="G1365" s="3" t="str">
        <f>"Scholastic"</f>
        <v>Scholastic</v>
      </c>
      <c r="H1365" s="2" t="str">
        <f>"2019"</f>
        <v>2019</v>
      </c>
      <c r="I1365" s="3" t="str">
        <f>""</f>
        <v/>
      </c>
    </row>
    <row r="1366" spans="1:9" x14ac:dyDescent="0.3">
      <c r="A1366" s="2">
        <v>1365</v>
      </c>
      <c r="B1366" s="4" t="s">
        <v>27</v>
      </c>
      <c r="C1366" s="3" t="str">
        <f>"TFC000004282"</f>
        <v>TFC000004282</v>
      </c>
      <c r="D1366" s="3" t="str">
        <f>"F800-22-0010-(AR 2.6)"</f>
        <v>F800-22-0010-(AR 2.6)</v>
      </c>
      <c r="E1366" s="3" t="str">
        <f>"Press Start!. 5, Super Rabbit boy Blasts off"</f>
        <v>Press Start!. 5, Super Rabbit boy Blasts off</v>
      </c>
      <c r="F1366" s="3" t="str">
        <f>"by Thomas Flintham"</f>
        <v>by Thomas Flintham</v>
      </c>
      <c r="G1366" s="3" t="str">
        <f>"Branches"</f>
        <v>Branches</v>
      </c>
      <c r="H1366" s="2" t="str">
        <f>"2017"</f>
        <v>2017</v>
      </c>
      <c r="I1366" s="3" t="str">
        <f>""</f>
        <v/>
      </c>
    </row>
    <row r="1367" spans="1:9" x14ac:dyDescent="0.3">
      <c r="A1367" s="2">
        <v>1366</v>
      </c>
      <c r="B1367" s="4" t="s">
        <v>27</v>
      </c>
      <c r="C1367" s="3" t="str">
        <f>"TFC000004707"</f>
        <v>TFC000004707</v>
      </c>
      <c r="D1367" s="3" t="str">
        <f>"F800-22-0516-(AR 2.6)"</f>
        <v>F800-22-0516-(AR 2.6)</v>
      </c>
      <c r="E1367" s="3" t="str">
        <f>"Smile"</f>
        <v>Smile</v>
      </c>
      <c r="F1367" s="3" t="str">
        <f>"by Raina Telgemeier, with color by Gurihiru"</f>
        <v>by Raina Telgemeier, with color by Gurihiru</v>
      </c>
      <c r="G1367" s="3" t="str">
        <f>"Scholastic"</f>
        <v>Scholastic</v>
      </c>
      <c r="H1367" s="2" t="str">
        <f>"2012"</f>
        <v>2012</v>
      </c>
      <c r="I1367" s="3" t="str">
        <f>""</f>
        <v/>
      </c>
    </row>
    <row r="1368" spans="1:9" x14ac:dyDescent="0.3">
      <c r="A1368" s="2">
        <v>1367</v>
      </c>
      <c r="B1368" s="4" t="s">
        <v>27</v>
      </c>
      <c r="C1368" s="3" t="str">
        <f>"TFC000004874"</f>
        <v>TFC000004874</v>
      </c>
      <c r="D1368" s="3" t="str">
        <f>"F800-22-0604-(AR 2.6)"</f>
        <v>F800-22-0604-(AR 2.6)</v>
      </c>
      <c r="E1368" s="3" t="str">
        <f>"(The)Undefeated"</f>
        <v>(The)Undefeated</v>
      </c>
      <c r="F1368" s="3" t="str">
        <f>"by Kwame Alexander, illustrated by Kadir Nelson"</f>
        <v>by Kwame Alexander, illustrated by Kadir Nelson</v>
      </c>
      <c r="G1368" s="3" t="str">
        <f>"Andersen Press"</f>
        <v>Andersen Press</v>
      </c>
      <c r="H1368" s="2" t="str">
        <f>"2020"</f>
        <v>2020</v>
      </c>
      <c r="I1368" s="3" t="str">
        <f>""</f>
        <v/>
      </c>
    </row>
    <row r="1369" spans="1:9" x14ac:dyDescent="0.3">
      <c r="A1369" s="2">
        <v>1368</v>
      </c>
      <c r="B1369" s="4" t="s">
        <v>27</v>
      </c>
      <c r="C1369" s="3" t="str">
        <f>"TFC000004345"</f>
        <v>TFC000004345</v>
      </c>
      <c r="D1369" s="3" t="str">
        <f>"F800-22-0154-(AR2.6)"</f>
        <v>F800-22-0154-(AR2.6)</v>
      </c>
      <c r="E1369" s="3" t="str">
        <f>"Gorilla"</f>
        <v>Gorilla</v>
      </c>
      <c r="F1369" s="3" t="str">
        <f>"by nthony Browne"</f>
        <v>by nthony Browne</v>
      </c>
      <c r="G1369" s="3" t="str">
        <f>"Candlewick"</f>
        <v>Candlewick</v>
      </c>
      <c r="H1369" s="2" t="str">
        <f>"2014"</f>
        <v>2014</v>
      </c>
      <c r="I1369" s="3" t="str">
        <f>""</f>
        <v/>
      </c>
    </row>
    <row r="1370" spans="1:9" x14ac:dyDescent="0.3">
      <c r="A1370" s="2">
        <v>1369</v>
      </c>
      <c r="B1370" s="4" t="s">
        <v>27</v>
      </c>
      <c r="C1370" s="3" t="str">
        <f>"TFC000004344"</f>
        <v>TFC000004344</v>
      </c>
      <c r="D1370" s="3" t="str">
        <f>"F800-22-0153-(AR2.6)"</f>
        <v>F800-22-0153-(AR2.6)</v>
      </c>
      <c r="E1370" s="3" t="str">
        <f>"Bee-wigged"</f>
        <v>Bee-wigged</v>
      </c>
      <c r="F1370" s="3" t="str">
        <f>"by Cece Bell"</f>
        <v>by Cece Bell</v>
      </c>
      <c r="G1370" s="3" t="str">
        <f>"Candlewick Press"</f>
        <v>Candlewick Press</v>
      </c>
      <c r="H1370" s="2" t="str">
        <f>"2017"</f>
        <v>2017</v>
      </c>
      <c r="I1370" s="3" t="str">
        <f>""</f>
        <v/>
      </c>
    </row>
    <row r="1371" spans="1:9" x14ac:dyDescent="0.3">
      <c r="A1371" s="2">
        <v>1370</v>
      </c>
      <c r="B1371" s="4" t="s">
        <v>27</v>
      </c>
      <c r="C1371" s="3" t="str">
        <f>"TFC000004439"</f>
        <v>TFC000004439</v>
      </c>
      <c r="D1371" s="3" t="str">
        <f>"F800-22-0248-(AR2.6)"</f>
        <v>F800-22-0248-(AR2.6)</v>
      </c>
      <c r="E1371" s="3" t="str">
        <f>"Llama Glamarama"</f>
        <v>Llama Glamarama</v>
      </c>
      <c r="F1371" s="3" t="str">
        <f>"by Simon James Green, Carry Parsons"</f>
        <v>by Simon James Green, Carry Parsons</v>
      </c>
      <c r="G1371" s="3" t="str">
        <f>"Scholastic"</f>
        <v>Scholastic</v>
      </c>
      <c r="H1371" s="2" t="str">
        <f>"2022"</f>
        <v>2022</v>
      </c>
      <c r="I1371" s="3" t="str">
        <f>""</f>
        <v/>
      </c>
    </row>
    <row r="1372" spans="1:9" x14ac:dyDescent="0.3">
      <c r="A1372" s="2">
        <v>1371</v>
      </c>
      <c r="B1372" s="4" t="s">
        <v>27</v>
      </c>
      <c r="C1372" s="3" t="str">
        <f>"TFC000004440"</f>
        <v>TFC000004440</v>
      </c>
      <c r="D1372" s="3" t="str">
        <f>"F400-22-0249-(AR2.6)"</f>
        <v>F400-22-0249-(AR2.6)</v>
      </c>
      <c r="E1372" s="3" t="str">
        <f>"Rocks and Sticks"</f>
        <v>Rocks and Sticks</v>
      </c>
      <c r="F1372" s="3" t="str">
        <f>"by John Wood"</f>
        <v>by John Wood</v>
      </c>
      <c r="G1372" s="3" t="str">
        <f>"Bearport"</f>
        <v>Bearport</v>
      </c>
      <c r="H1372" s="2" t="str">
        <f>"2022"</f>
        <v>2022</v>
      </c>
      <c r="I1372" s="3" t="str">
        <f>""</f>
        <v/>
      </c>
    </row>
    <row r="1373" spans="1:9" x14ac:dyDescent="0.3">
      <c r="A1373" s="2">
        <v>1372</v>
      </c>
      <c r="B1373" s="4" t="s">
        <v>27</v>
      </c>
      <c r="C1373" s="3" t="str">
        <f>"TFC000004883"</f>
        <v>TFC000004883</v>
      </c>
      <c r="D1373" s="3" t="str">
        <f>"F800-22-0613-(AR2.6)"</f>
        <v>F800-22-0613-(AR2.6)</v>
      </c>
      <c r="E1373" s="3" t="str">
        <f>"The witches : the graphic novel"</f>
        <v>The witches : the graphic novel</v>
      </c>
      <c r="F1373" s="3" t="str">
        <f>"by Penelope Bagieu"</f>
        <v>by Penelope Bagieu</v>
      </c>
      <c r="G1373" s="3" t="str">
        <f>"Graphix(Scholastic)"</f>
        <v>Graphix(Scholastic)</v>
      </c>
      <c r="H1373" s="2" t="str">
        <f>"2020"</f>
        <v>2020</v>
      </c>
      <c r="I1373" s="3" t="str">
        <f>""</f>
        <v/>
      </c>
    </row>
    <row r="1374" spans="1:9" x14ac:dyDescent="0.3">
      <c r="A1374" s="2">
        <v>1373</v>
      </c>
      <c r="B1374" s="4" t="s">
        <v>27</v>
      </c>
      <c r="C1374" s="3" t="str">
        <f>"TFC000004700"</f>
        <v>TFC000004700</v>
      </c>
      <c r="D1374" s="3" t="str">
        <f>"F800-22-0509-(AR2.6)"</f>
        <v>F800-22-0509-(AR2.6)</v>
      </c>
      <c r="E1374" s="3" t="str">
        <f>"Cat Kid comic club : perspectives"</f>
        <v>Cat Kid comic club : perspectives</v>
      </c>
      <c r="F1374" s="3" t="str">
        <f>"Written and illustrated by Dav Pilkey"</f>
        <v>Written and illustrated by Dav Pilkey</v>
      </c>
      <c r="G1374" s="3" t="str">
        <f>"Graphix"</f>
        <v>Graphix</v>
      </c>
      <c r="H1374" s="2" t="str">
        <f>"2021"</f>
        <v>2021</v>
      </c>
      <c r="I1374" s="3" t="str">
        <f>""</f>
        <v/>
      </c>
    </row>
    <row r="1375" spans="1:9" x14ac:dyDescent="0.3">
      <c r="A1375" s="2">
        <v>1374</v>
      </c>
      <c r="B1375" s="4" t="s">
        <v>27</v>
      </c>
      <c r="C1375" s="3" t="str">
        <f>"TFC000000913"</f>
        <v>TFC000000913</v>
      </c>
      <c r="D1375" s="3" t="str">
        <f>"F800-20-1000-1(AR 2.6)"</f>
        <v>F800-20-1000-1(AR 2.6)</v>
      </c>
      <c r="E1375" s="3" t="str">
        <f>"Dog man"</f>
        <v>Dog man</v>
      </c>
      <c r="F1375" s="3" t="str">
        <f>"written and illustrated by Dav Pilkey"</f>
        <v>written and illustrated by Dav Pilkey</v>
      </c>
      <c r="G1375" s="3" t="str">
        <f>"Graphix"</f>
        <v>Graphix</v>
      </c>
      <c r="H1375" s="2" t="str">
        <f>"2016"</f>
        <v>2016</v>
      </c>
      <c r="I1375" s="3" t="str">
        <f>""</f>
        <v/>
      </c>
    </row>
    <row r="1376" spans="1:9" x14ac:dyDescent="0.3">
      <c r="A1376" s="2">
        <v>1375</v>
      </c>
      <c r="B1376" s="4" t="s">
        <v>27</v>
      </c>
      <c r="C1376" s="3" t="str">
        <f>"TFC000003921"</f>
        <v>TFC000003921</v>
      </c>
      <c r="D1376" s="3" t="str">
        <f>"F800-21-0315-1(AR 2.6)"</f>
        <v>F800-21-0315-1(AR 2.6)</v>
      </c>
      <c r="E1376" s="3" t="str">
        <f>"One dead spy : the life, times, and last words of Nathan Hale, America's most famous spy. Vol. 1"</f>
        <v>One dead spy : the life, times, and last words of Nathan Hale, America's most famous spy. Vol. 1</v>
      </c>
      <c r="F1376" s="3" t="str">
        <f>"text and illustrations by Nathan Hale"</f>
        <v>text and illustrations by Nathan Hale</v>
      </c>
      <c r="G1376" s="3" t="str">
        <f>"Amulet Books"</f>
        <v>Amulet Books</v>
      </c>
      <c r="H1376" s="2" t="str">
        <f>"2012"</f>
        <v>2012</v>
      </c>
      <c r="I1376" s="3" t="str">
        <f>""</f>
        <v/>
      </c>
    </row>
    <row r="1377" spans="1:9" x14ac:dyDescent="0.3">
      <c r="A1377" s="2">
        <v>1376</v>
      </c>
      <c r="B1377" s="4" t="s">
        <v>27</v>
      </c>
      <c r="C1377" s="3" t="str">
        <f>"TFC000000917"</f>
        <v>TFC000000917</v>
      </c>
      <c r="D1377" s="3" t="str">
        <f>"F800-20-1004-10(AR 2.6)"</f>
        <v>F800-20-1004-10(AR 2.6)</v>
      </c>
      <c r="E1377" s="3" t="str">
        <f>"Henry and Mudge and the bedtime thumps : the ninth book of their adventures"</f>
        <v>Henry and Mudge and the bedtime thumps : the ninth book of their adventures</v>
      </c>
      <c r="F1377" s="3" t="str">
        <f>"story by Cynthia Rylant ; pictures by Sucie Stevenson"</f>
        <v>story by Cynthia Rylant ; pictures by Sucie Stevenson</v>
      </c>
      <c r="G1377" s="3" t="str">
        <f>"Simon Spotlight"</f>
        <v>Simon Spotlight</v>
      </c>
      <c r="H1377" s="2" t="str">
        <f>"1996"</f>
        <v>1996</v>
      </c>
      <c r="I1377" s="3" t="str">
        <f>""</f>
        <v/>
      </c>
    </row>
    <row r="1378" spans="1:9" x14ac:dyDescent="0.3">
      <c r="A1378" s="2">
        <v>1377</v>
      </c>
      <c r="B1378" s="4" t="s">
        <v>27</v>
      </c>
      <c r="C1378" s="3" t="str">
        <f>"TFC000003810"</f>
        <v>TFC000003810</v>
      </c>
      <c r="D1378" s="3" t="str">
        <f>"F800-21-0312-10(AR 2.6)"</f>
        <v>F800-21-0312-10(AR 2.6)</v>
      </c>
      <c r="E1378" s="3" t="str">
        <f>"Dog man mothering heights"</f>
        <v>Dog man mothering heights</v>
      </c>
      <c r="F1378" s="3" t="str">
        <f>"written and illustrated by Dav Pilkey as George Beard and Harold Hutchins, with color by Jose Garibaldi"</f>
        <v>written and illustrated by Dav Pilkey as George Beard and Harold Hutchins, with color by Jose Garibaldi</v>
      </c>
      <c r="G1378" s="3" t="str">
        <f>"Graphix, an imprint of Scholastic"</f>
        <v>Graphix, an imprint of Scholastic</v>
      </c>
      <c r="H1378" s="2" t="str">
        <f>"2021"</f>
        <v>2021</v>
      </c>
      <c r="I1378" s="3" t="str">
        <f>""</f>
        <v/>
      </c>
    </row>
    <row r="1379" spans="1:9" x14ac:dyDescent="0.3">
      <c r="A1379" s="2">
        <v>1378</v>
      </c>
      <c r="B1379" s="4" t="s">
        <v>27</v>
      </c>
      <c r="C1379" s="3" t="str">
        <f>"TFC000000918"</f>
        <v>TFC000000918</v>
      </c>
      <c r="D1379" s="3" t="str">
        <f>"F800-20-1005-11(AR 2.6)"</f>
        <v>F800-20-1005-11(AR 2.6)</v>
      </c>
      <c r="E1379" s="3" t="str">
        <f>"Henry and Mudge and the best day of all : the fourteenth book of their adventures"</f>
        <v>Henry and Mudge and the best day of all : the fourteenth book of their adventures</v>
      </c>
      <c r="F1379" s="3" t="str">
        <f>"story by Cynthia Rylant ; pictures by Suc?ie Stevenson"</f>
        <v>story by Cynthia Rylant ; pictures by Suc?ie Stevenson</v>
      </c>
      <c r="G1379" s="3" t="str">
        <f>"Aladdin"</f>
        <v>Aladdin</v>
      </c>
      <c r="H1379" s="2" t="str">
        <f>"1997"</f>
        <v>1997</v>
      </c>
      <c r="I1379" s="3" t="str">
        <f>""</f>
        <v/>
      </c>
    </row>
    <row r="1380" spans="1:9" x14ac:dyDescent="0.3">
      <c r="A1380" s="2">
        <v>1379</v>
      </c>
      <c r="B1380" s="4">
        <v>2.6</v>
      </c>
      <c r="C1380" s="3" t="str">
        <f>"TFC000000867"</f>
        <v>TFC000000867</v>
      </c>
      <c r="D1380" s="3" t="str">
        <f>"F800-20-0954-12(AR 2.6)"</f>
        <v>F800-20-0954-12(AR 2.6)</v>
      </c>
      <c r="E1380" s="3" t="str">
        <f>"Nate the great and the lost list"</f>
        <v>Nate the great and the lost list</v>
      </c>
      <c r="F1380" s="3" t="str">
        <f>"by Marjorie Weinman Sharmat ; illustrated by Marc Simont"</f>
        <v>by Marjorie Weinman Sharmat ; illustrated by Marc Simont</v>
      </c>
      <c r="G1380" s="3" t="str">
        <f>"Yearling Book"</f>
        <v>Yearling Book</v>
      </c>
      <c r="H1380" s="2" t="str">
        <f>"2007"</f>
        <v>2007</v>
      </c>
      <c r="I1380" s="3" t="str">
        <f>""</f>
        <v/>
      </c>
    </row>
    <row r="1381" spans="1:9" x14ac:dyDescent="0.3">
      <c r="A1381" s="2">
        <v>1380</v>
      </c>
      <c r="B1381" s="4">
        <v>2.6</v>
      </c>
      <c r="C1381" s="3" t="str">
        <f>"TFC000004105"</f>
        <v>TFC000004105</v>
      </c>
      <c r="D1381" s="3" t="str">
        <f>"F800-21-0320-12(AR 2.6)"</f>
        <v>F800-21-0320-12(AR 2.6)</v>
      </c>
      <c r="E1381" s="3" t="str">
        <f>"(The)Bad guys. 12, The Bad Guys in the One?!"</f>
        <v>(The)Bad guys. 12, The Bad Guys in the One?!</v>
      </c>
      <c r="F1381" s="3" t="str">
        <f>"by Aaron Blabey"</f>
        <v>by Aaron Blabey</v>
      </c>
      <c r="G1381" s="3" t="str">
        <f>"Scholastic"</f>
        <v>Scholastic</v>
      </c>
      <c r="H1381" s="2" t="str">
        <f>"2019"</f>
        <v>2019</v>
      </c>
      <c r="I1381" s="3" t="str">
        <f>""</f>
        <v/>
      </c>
    </row>
    <row r="1382" spans="1:9" x14ac:dyDescent="0.3">
      <c r="A1382" s="2">
        <v>1381</v>
      </c>
      <c r="B1382" s="4">
        <v>2.6</v>
      </c>
      <c r="C1382" s="3" t="str">
        <f>"TFC000000920"</f>
        <v>TFC000000920</v>
      </c>
      <c r="D1382" s="3" t="str">
        <f>"F800-20-1007-13(AR 2.6)"</f>
        <v>F800-20-1007-13(AR 2.6)</v>
      </c>
      <c r="E1382" s="3" t="str">
        <f>"Henry and Mudge and the great grandpas : the twenty-sixth book of their adventures"</f>
        <v>Henry and Mudge and the great grandpas : the twenty-sixth book of their adventures</v>
      </c>
      <c r="F1382" s="3" t="str">
        <f>"story by Cynthia Rylant ; pictures by Suc?ie Stevenson"</f>
        <v>story by Cynthia Rylant ; pictures by Suc?ie Stevenson</v>
      </c>
      <c r="G1382" s="3" t="str">
        <f>"Simon Spotlight"</f>
        <v>Simon Spotlight</v>
      </c>
      <c r="H1382" s="2" t="str">
        <f>"2005"</f>
        <v>2005</v>
      </c>
      <c r="I1382" s="3" t="str">
        <f>""</f>
        <v/>
      </c>
    </row>
    <row r="1383" spans="1:9" x14ac:dyDescent="0.3">
      <c r="A1383" s="2">
        <v>1382</v>
      </c>
      <c r="B1383" s="4">
        <v>2.6</v>
      </c>
      <c r="C1383" s="3" t="str">
        <f>"TFC000000868"</f>
        <v>TFC000000868</v>
      </c>
      <c r="D1383" s="3" t="str">
        <f>"F800-20-0955-20(AR 2.6)"</f>
        <v>F800-20-0955-20(AR 2.6)</v>
      </c>
      <c r="E1383" s="3" t="str">
        <f>"Nate the great goes down in the dumps"</f>
        <v>Nate the great goes down in the dumps</v>
      </c>
      <c r="F1383" s="3" t="str">
        <f>"by Marjorie Weinman Sharmat ; illustrated by Marc Simont"</f>
        <v>by Marjorie Weinman Sharmat ; illustrated by Marc Simont</v>
      </c>
      <c r="G1383" s="3" t="str">
        <f>"Yearling Book"</f>
        <v>Yearling Book</v>
      </c>
      <c r="H1383" s="2" t="str">
        <f>"2006"</f>
        <v>2006</v>
      </c>
      <c r="I1383" s="3" t="str">
        <f>""</f>
        <v/>
      </c>
    </row>
    <row r="1384" spans="1:9" x14ac:dyDescent="0.3">
      <c r="A1384" s="2">
        <v>1383</v>
      </c>
      <c r="B1384" s="4">
        <v>2.6</v>
      </c>
      <c r="C1384" s="3" t="str">
        <f>"TFC000000869"</f>
        <v>TFC000000869</v>
      </c>
      <c r="D1384" s="3" t="str">
        <f>"F800-20-0956-23(AR 2.6)"</f>
        <v>F800-20-0956-23(AR 2.6)</v>
      </c>
      <c r="E1384" s="3" t="str">
        <f>"Nate the great, San Francisco detective"</f>
        <v>Nate the great, San Francisco detective</v>
      </c>
      <c r="F1384" s="3" t="str">
        <f>"by Marjorie Weinman Sharmat, Mitchell Sharmat ; illustrated by Martha Weston"</f>
        <v>by Marjorie Weinman Sharmat, Mitchell Sharmat ; illustrated by Martha Weston</v>
      </c>
      <c r="G1384" s="3" t="str">
        <f>"Yearling Book"</f>
        <v>Yearling Book</v>
      </c>
      <c r="H1384" s="2" t="str">
        <f>"2002"</f>
        <v>2002</v>
      </c>
      <c r="I1384" s="3" t="str">
        <f>""</f>
        <v/>
      </c>
    </row>
    <row r="1385" spans="1:9" x14ac:dyDescent="0.3">
      <c r="A1385" s="2">
        <v>1384</v>
      </c>
      <c r="B1385" s="4">
        <v>2.6</v>
      </c>
      <c r="C1385" s="3" t="str">
        <f>"TFC000000916"</f>
        <v>TFC000000916</v>
      </c>
      <c r="D1385" s="3" t="str">
        <f>"F800-20-1003-4(AR 2.6)"</f>
        <v>F800-20-1003-4(AR 2.6)</v>
      </c>
      <c r="E1385" s="3" t="str">
        <f>"Dog man and cat kid"</f>
        <v>Dog man and cat kid</v>
      </c>
      <c r="F1385" s="3" t="str">
        <f>"written and illustrated by Dav Pilkey"</f>
        <v>written and illustrated by Dav Pilkey</v>
      </c>
      <c r="G1385" s="3" t="str">
        <f>"Graphix"</f>
        <v>Graphix</v>
      </c>
      <c r="H1385" s="2" t="str">
        <f>"2018"</f>
        <v>2018</v>
      </c>
      <c r="I1385" s="3" t="str">
        <f>""</f>
        <v/>
      </c>
    </row>
    <row r="1386" spans="1:9" x14ac:dyDescent="0.3">
      <c r="A1386" s="2">
        <v>1385</v>
      </c>
      <c r="B1386" s="4">
        <v>2.6</v>
      </c>
      <c r="C1386" s="3" t="str">
        <f>"TFC000003863"</f>
        <v>TFC000003863</v>
      </c>
      <c r="D1386" s="3" t="str">
        <f>"F800-21-0314-4(AR 2.6)"</f>
        <v>F800-21-0314-4(AR 2.6)</v>
      </c>
      <c r="E1386" s="3" t="str">
        <f>"Baby-sitters little sister. 4, Karen's kittycat club"</f>
        <v>Baby-sitters little sister. 4, Karen's kittycat club</v>
      </c>
      <c r="F1386" s="3" t="str">
        <f>"a graphic novel by Katy Farina"</f>
        <v>a graphic novel by Katy Farina</v>
      </c>
      <c r="G1386" s="3" t="str">
        <f>"GRAPHIX"</f>
        <v>GRAPHIX</v>
      </c>
      <c r="H1386" s="2" t="str">
        <f>"2021"</f>
        <v>2021</v>
      </c>
      <c r="I1386" s="3" t="str">
        <f>""</f>
        <v/>
      </c>
    </row>
    <row r="1387" spans="1:9" x14ac:dyDescent="0.3">
      <c r="A1387" s="2">
        <v>1386</v>
      </c>
      <c r="B1387" s="4" t="s">
        <v>27</v>
      </c>
      <c r="C1387" s="3" t="str">
        <f>"TFC000000866"</f>
        <v>TFC000000866</v>
      </c>
      <c r="D1387" s="3" t="str">
        <f>"F800-20-0953-9(AR 2.6)"</f>
        <v>F800-20-0953-9(AR 2.6)</v>
      </c>
      <c r="E1387" s="3" t="str">
        <f>"Nate the great and the phony clue"</f>
        <v>Nate the great and the phony clue</v>
      </c>
      <c r="F1387" s="3" t="str">
        <f>"by Marjorie Weinman Sharmat ; illustrated by Marc Simont"</f>
        <v>by Marjorie Weinman Sharmat ; illustrated by Marc Simont</v>
      </c>
      <c r="G1387" s="3" t="str">
        <f>"Yearling Book"</f>
        <v>Yearling Book</v>
      </c>
      <c r="H1387" s="2" t="str">
        <f>"2007"</f>
        <v>2007</v>
      </c>
      <c r="I1387" s="3" t="str">
        <f>""</f>
        <v/>
      </c>
    </row>
    <row r="1388" spans="1:9" x14ac:dyDescent="0.3">
      <c r="A1388" s="2">
        <v>1387</v>
      </c>
      <c r="B1388" s="4" t="s">
        <v>28</v>
      </c>
      <c r="C1388" s="3" t="str">
        <f>"TFC000001000"</f>
        <v>TFC000001000</v>
      </c>
      <c r="D1388" s="3" t="str">
        <f>"F800-20-1102-(AR 2.7)"</f>
        <v>F800-20-1102-(AR 2.7)</v>
      </c>
      <c r="E1388" s="3" t="str">
        <f>"Junie B. Jones has a monster under her bed"</f>
        <v>Junie B. Jones has a monster under her bed</v>
      </c>
      <c r="F1388" s="3" t="str">
        <f>"by Barbara Park ; illustrated by Denise Brunkus"</f>
        <v>by Barbara Park ; illustrated by Denise Brunkus</v>
      </c>
      <c r="G1388" s="3" t="str">
        <f>"Random House"</f>
        <v>Random House</v>
      </c>
      <c r="H1388" s="2" t="str">
        <f>"1997"</f>
        <v>1997</v>
      </c>
      <c r="I1388" s="2" t="s">
        <v>2</v>
      </c>
    </row>
    <row r="1389" spans="1:9" x14ac:dyDescent="0.3">
      <c r="A1389" s="2">
        <v>1388</v>
      </c>
      <c r="B1389" s="4" t="s">
        <v>28</v>
      </c>
      <c r="C1389" s="3" t="str">
        <f>"TFC000000931"</f>
        <v>TFC000000931</v>
      </c>
      <c r="D1389" s="3" t="str">
        <f>"F300-20-1032-(AR 2.7)"</f>
        <v>F300-20-1032-(AR 2.7)</v>
      </c>
      <c r="E1389" s="3" t="str">
        <f>"Lightship"</f>
        <v>Lightship</v>
      </c>
      <c r="F1389" s="3" t="str">
        <f>"by Brian Floca"</f>
        <v>by Brian Floca</v>
      </c>
      <c r="G1389" s="3" t="str">
        <f>"Atheneum Books for Young Readers"</f>
        <v>Atheneum Books for Young Readers</v>
      </c>
      <c r="H1389" s="2" t="str">
        <f>"2007"</f>
        <v>2007</v>
      </c>
      <c r="I1389" s="3" t="str">
        <f>""</f>
        <v/>
      </c>
    </row>
    <row r="1390" spans="1:9" x14ac:dyDescent="0.3">
      <c r="A1390" s="2">
        <v>1389</v>
      </c>
      <c r="B1390" s="4" t="s">
        <v>28</v>
      </c>
      <c r="C1390" s="3" t="str">
        <f>"TFC000000932"</f>
        <v>TFC000000932</v>
      </c>
      <c r="D1390" s="3" t="str">
        <f>"F400-20-1033-(AR 2.7)"</f>
        <v>F400-20-1033-(AR 2.7)</v>
      </c>
      <c r="E1390" s="3" t="str">
        <f>"Probably pistachio"</f>
        <v>Probably pistachio</v>
      </c>
      <c r="F1390" s="3" t="str">
        <f>"by Stuart J. Murphy ; illustrated by Marsha Winborn"</f>
        <v>by Stuart J. Murphy ; illustrated by Marsha Winborn</v>
      </c>
      <c r="G1390" s="3" t="str">
        <f>"HarperCollins Publishers"</f>
        <v>HarperCollins Publishers</v>
      </c>
      <c r="H1390" s="2" t="str">
        <f>"2001"</f>
        <v>2001</v>
      </c>
      <c r="I1390" s="3" t="str">
        <f>""</f>
        <v/>
      </c>
    </row>
    <row r="1391" spans="1:9" x14ac:dyDescent="0.3">
      <c r="A1391" s="2">
        <v>1390</v>
      </c>
      <c r="B1391" s="4" t="s">
        <v>28</v>
      </c>
      <c r="C1391" s="3" t="str">
        <f>"TFC000000933"</f>
        <v>TFC000000933</v>
      </c>
      <c r="D1391" s="3" t="str">
        <f>"F400-20-1034-(AR 2.7)"</f>
        <v>F400-20-1034-(AR 2.7)</v>
      </c>
      <c r="E1391" s="3" t="str">
        <f>"Snow is falling"</f>
        <v>Snow is falling</v>
      </c>
      <c r="F1391" s="3" t="str">
        <f>"by Franklyn M. Branley ; illutrated by Holly Keller"</f>
        <v>by Franklyn M. Branley ; illutrated by Holly Keller</v>
      </c>
      <c r="G1391" s="3" t="str">
        <f>"HarperCollins:HarperTrophy"</f>
        <v>HarperCollins:HarperTrophy</v>
      </c>
      <c r="H1391" s="2" t="str">
        <f>"2000"</f>
        <v>2000</v>
      </c>
      <c r="I1391" s="3" t="str">
        <f>""</f>
        <v/>
      </c>
    </row>
    <row r="1392" spans="1:9" x14ac:dyDescent="0.3">
      <c r="A1392" s="2">
        <v>1391</v>
      </c>
      <c r="B1392" s="4" t="s">
        <v>28</v>
      </c>
      <c r="C1392" s="3" t="str">
        <f>"TFC000000936"</f>
        <v>TFC000000936</v>
      </c>
      <c r="D1392" s="3" t="str">
        <f>"F800-20-1038-(AR 2.7)"</f>
        <v>F800-20-1038-(AR 2.7)</v>
      </c>
      <c r="E1392" s="3" t="str">
        <f>"(The)gingerbread man"</f>
        <v>(The)gingerbread man</v>
      </c>
      <c r="F1392" s="3" t="str">
        <f>"retold by Jim Aylesworth ; illustrated by Barbara McClintock"</f>
        <v>retold by Jim Aylesworth ; illustrated by Barbara McClintock</v>
      </c>
      <c r="G1392" s="3" t="str">
        <f>"Scholastic"</f>
        <v>Scholastic</v>
      </c>
      <c r="H1392" s="2" t="str">
        <f>"1998"</f>
        <v>1998</v>
      </c>
      <c r="I1392" s="3" t="str">
        <f>""</f>
        <v/>
      </c>
    </row>
    <row r="1393" spans="1:9" x14ac:dyDescent="0.3">
      <c r="A1393" s="2">
        <v>1392</v>
      </c>
      <c r="B1393" s="4" t="s">
        <v>28</v>
      </c>
      <c r="C1393" s="3" t="str">
        <f>"TFC000000937"</f>
        <v>TFC000000937</v>
      </c>
      <c r="D1393" s="3" t="str">
        <f>"F800-20-1039-(AR 2.7)"</f>
        <v>F800-20-1039-(AR 2.7)</v>
      </c>
      <c r="E1393" s="3" t="str">
        <f>"Arthur's new puppy"</f>
        <v>Arthur's new puppy</v>
      </c>
      <c r="F1393" s="3" t="str">
        <f>"by Marc Brown"</f>
        <v>by Marc Brown</v>
      </c>
      <c r="G1393" s="3" t="str">
        <f>"Little, Brown and Company"</f>
        <v>Little, Brown and Company</v>
      </c>
      <c r="H1393" s="2" t="str">
        <f>"2011"</f>
        <v>2011</v>
      </c>
      <c r="I1393" s="3" t="str">
        <f>""</f>
        <v/>
      </c>
    </row>
    <row r="1394" spans="1:9" x14ac:dyDescent="0.3">
      <c r="A1394" s="2">
        <v>1393</v>
      </c>
      <c r="B1394" s="4" t="s">
        <v>28</v>
      </c>
      <c r="C1394" s="3" t="str">
        <f>"TFC000000938"</f>
        <v>TFC000000938</v>
      </c>
      <c r="D1394" s="3" t="str">
        <f>"F800-20-1040-(AR 2.7)"</f>
        <v>F800-20-1040-(AR 2.7)</v>
      </c>
      <c r="E1394" s="3" t="str">
        <f>"Arthur's teacher trouble"</f>
        <v>Arthur's teacher trouble</v>
      </c>
      <c r="F1394" s="3" t="str">
        <f>"by Marc Brown"</f>
        <v>by Marc Brown</v>
      </c>
      <c r="G1394" s="3" t="str">
        <f>"Little, Brown and Company"</f>
        <v>Little, Brown and Company</v>
      </c>
      <c r="H1394" s="2" t="str">
        <f>"2011"</f>
        <v>2011</v>
      </c>
      <c r="I1394" s="3" t="str">
        <f>""</f>
        <v/>
      </c>
    </row>
    <row r="1395" spans="1:9" x14ac:dyDescent="0.3">
      <c r="A1395" s="2">
        <v>1394</v>
      </c>
      <c r="B1395" s="4" t="s">
        <v>28</v>
      </c>
      <c r="C1395" s="3" t="str">
        <f>"TFC000000939"</f>
        <v>TFC000000939</v>
      </c>
      <c r="D1395" s="3" t="str">
        <f>"F800-20-1041-(AR 2.7)"</f>
        <v>F800-20-1041-(AR 2.7)</v>
      </c>
      <c r="E1395" s="3" t="str">
        <f>"(The)runaway bunny"</f>
        <v>(The)runaway bunny</v>
      </c>
      <c r="F1395" s="3" t="str">
        <f>"by Margaret Wise Brown ; pictures by Clement Hurd"</f>
        <v>by Margaret Wise Brown ; pictures by Clement Hurd</v>
      </c>
      <c r="G1395" s="3" t="str">
        <f>"Harper"</f>
        <v>Harper</v>
      </c>
      <c r="H1395" s="2" t="str">
        <f>"2017"</f>
        <v>2017</v>
      </c>
      <c r="I1395" s="3" t="str">
        <f>""</f>
        <v/>
      </c>
    </row>
    <row r="1396" spans="1:9" x14ac:dyDescent="0.3">
      <c r="A1396" s="2">
        <v>1395</v>
      </c>
      <c r="B1396" s="4" t="s">
        <v>28</v>
      </c>
      <c r="C1396" s="3" t="str">
        <f>"TFC000000940"</f>
        <v>TFC000000940</v>
      </c>
      <c r="D1396" s="3" t="str">
        <f>"F800-20-1042-(AR 2.7)"</f>
        <v>F800-20-1042-(AR 2.7)</v>
      </c>
      <c r="E1396" s="3" t="str">
        <f>"(The)tunnel"</f>
        <v>(The)tunnel</v>
      </c>
      <c r="F1396" s="3" t="str">
        <f>"Anthony Browne"</f>
        <v>Anthony Browne</v>
      </c>
      <c r="G1396" s="3" t="str">
        <f>"Walker Books"</f>
        <v>Walker Books</v>
      </c>
      <c r="H1396" s="2" t="str">
        <f>"1992"</f>
        <v>1992</v>
      </c>
      <c r="I1396" s="3" t="str">
        <f>""</f>
        <v/>
      </c>
    </row>
    <row r="1397" spans="1:9" x14ac:dyDescent="0.3">
      <c r="A1397" s="2">
        <v>1396</v>
      </c>
      <c r="B1397" s="4" t="s">
        <v>28</v>
      </c>
      <c r="C1397" s="3" t="str">
        <f>"TFC000000941"</f>
        <v>TFC000000941</v>
      </c>
      <c r="D1397" s="3" t="str">
        <f>"F800-20-1043-(AR 2.7)"</f>
        <v>F800-20-1043-(AR 2.7)</v>
      </c>
      <c r="E1397" s="3" t="str">
        <f>"Just us women"</f>
        <v>Just us women</v>
      </c>
      <c r="F1397" s="3" t="str">
        <f>"by Jeannette Caines ; illustrated by Pat Cummings"</f>
        <v>by Jeannette Caines ; illustrated by Pat Cummings</v>
      </c>
      <c r="G1397" s="3" t="str">
        <f>"HarperTrophy"</f>
        <v>HarperTrophy</v>
      </c>
      <c r="H1397" s="2" t="str">
        <f>"1984"</f>
        <v>1984</v>
      </c>
      <c r="I1397" s="3" t="str">
        <f>""</f>
        <v/>
      </c>
    </row>
    <row r="1398" spans="1:9" x14ac:dyDescent="0.3">
      <c r="A1398" s="2">
        <v>1397</v>
      </c>
      <c r="B1398" s="4" t="s">
        <v>28</v>
      </c>
      <c r="C1398" s="3" t="str">
        <f>"TFC000000942"</f>
        <v>TFC000000942</v>
      </c>
      <c r="D1398" s="3" t="str">
        <f>"F800-20-1044-(AR 2.7)"</f>
        <v>F800-20-1044-(AR 2.7)</v>
      </c>
      <c r="E1398" s="3" t="str">
        <f>"(The)Tiny seed"</f>
        <v>(The)Tiny seed</v>
      </c>
      <c r="F1398" s="3" t="str">
        <f>"by Eric Carle"</f>
        <v>by Eric Carle</v>
      </c>
      <c r="G1398" s="3" t="str">
        <f>"Aladdin Paperbacks"</f>
        <v>Aladdin Paperbacks</v>
      </c>
      <c r="H1398" s="2" t="str">
        <f>"2000"</f>
        <v>2000</v>
      </c>
      <c r="I1398" s="3" t="str">
        <f>""</f>
        <v/>
      </c>
    </row>
    <row r="1399" spans="1:9" x14ac:dyDescent="0.3">
      <c r="A1399" s="2">
        <v>1398</v>
      </c>
      <c r="B1399" s="4" t="s">
        <v>28</v>
      </c>
      <c r="C1399" s="3" t="str">
        <f>"TFC000000943"</f>
        <v>TFC000000943</v>
      </c>
      <c r="D1399" s="3" t="str">
        <f>"F800-20-1045-(AR 2.7)"</f>
        <v>F800-20-1045-(AR 2.7)</v>
      </c>
      <c r="E1399" s="3" t="str">
        <f>"Fortunately"</f>
        <v>Fortunately</v>
      </c>
      <c r="F1399" s="3" t="str">
        <f>"written and illustrated by Remy Charlip"</f>
        <v>written and illustrated by Remy Charlip</v>
      </c>
      <c r="G1399" s="3" t="str">
        <f>"Aladdin Paperbacks"</f>
        <v>Aladdin Paperbacks</v>
      </c>
      <c r="H1399" s="2" t="str">
        <f>"1993"</f>
        <v>1993</v>
      </c>
      <c r="I1399" s="3" t="str">
        <f>""</f>
        <v/>
      </c>
    </row>
    <row r="1400" spans="1:9" x14ac:dyDescent="0.3">
      <c r="A1400" s="2">
        <v>1399</v>
      </c>
      <c r="B1400" s="4" t="s">
        <v>28</v>
      </c>
      <c r="C1400" s="3" t="str">
        <f>"TFC000000944"</f>
        <v>TFC000000944</v>
      </c>
      <c r="D1400" s="3" t="str">
        <f>"F800-20-1046-(AR 2.7)"</f>
        <v>F800-20-1046-(AR 2.7)</v>
      </c>
      <c r="E1400" s="3" t="str">
        <f>"Buffalo bill and the pony express"</f>
        <v>Buffalo bill and the pony express</v>
      </c>
      <c r="F1400" s="3" t="str">
        <f>"story by Eleanor Coerr ; pictures by Don Bolognese"</f>
        <v>story by Eleanor Coerr ; pictures by Don Bolognese</v>
      </c>
      <c r="G1400" s="3" t="str">
        <f>"Harper"</f>
        <v>Harper</v>
      </c>
      <c r="H1400" s="2" t="str">
        <f>"1995"</f>
        <v>1995</v>
      </c>
      <c r="I1400" s="3" t="str">
        <f>""</f>
        <v/>
      </c>
    </row>
    <row r="1401" spans="1:9" x14ac:dyDescent="0.3">
      <c r="A1401" s="2">
        <v>1400</v>
      </c>
      <c r="B1401" s="4" t="s">
        <v>28</v>
      </c>
      <c r="C1401" s="3" t="str">
        <f>"TFC000000945"</f>
        <v>TFC000000945</v>
      </c>
      <c r="D1401" s="3" t="str">
        <f>"F800-20-1047-(AR 2.7)"</f>
        <v>F800-20-1047-(AR 2.7)</v>
      </c>
      <c r="E1401" s="3" t="str">
        <f>"(The)Josefina story quilt"</f>
        <v>(The)Josefina story quilt</v>
      </c>
      <c r="F1401" s="3" t="str">
        <f>"by Eleanor Coerr"</f>
        <v>by Eleanor Coerr</v>
      </c>
      <c r="G1401" s="3" t="str">
        <f>"HarperCollins Publishers"</f>
        <v>HarperCollins Publishers</v>
      </c>
      <c r="H1401" s="2" t="str">
        <f>"1985"</f>
        <v>1985</v>
      </c>
      <c r="I1401" s="3" t="str">
        <f>""</f>
        <v/>
      </c>
    </row>
    <row r="1402" spans="1:9" x14ac:dyDescent="0.3">
      <c r="A1402" s="2">
        <v>1401</v>
      </c>
      <c r="B1402" s="4" t="s">
        <v>28</v>
      </c>
      <c r="C1402" s="3" t="str">
        <f>"TFC000000946"</f>
        <v>TFC000000946</v>
      </c>
      <c r="D1402" s="3" t="str">
        <f>"F800-20-1048-(AR 2.7)"</f>
        <v>F800-20-1048-(AR 2.7)</v>
      </c>
      <c r="E1402" s="3" t="str">
        <f>"I'm out of my body.. please leave a message"</f>
        <v>I'm out of my body.. please leave a message</v>
      </c>
      <c r="F1402" s="3" t="str">
        <f>"by Dan Greenburg ; illustrated by Jack E. Davis"</f>
        <v>by Dan Greenburg ; illustrated by Jack E. Davis</v>
      </c>
      <c r="G1402" s="3" t="str">
        <f>"Grosset &amp; Dunlap"</f>
        <v>Grosset &amp; Dunlap</v>
      </c>
      <c r="H1402" s="2" t="str">
        <f>"1996"</f>
        <v>1996</v>
      </c>
      <c r="I1402" s="3" t="str">
        <f>""</f>
        <v/>
      </c>
    </row>
    <row r="1403" spans="1:9" x14ac:dyDescent="0.3">
      <c r="A1403" s="2">
        <v>1402</v>
      </c>
      <c r="B1403" s="4" t="s">
        <v>28</v>
      </c>
      <c r="C1403" s="3" t="str">
        <f>"TFC000000947"</f>
        <v>TFC000000947</v>
      </c>
      <c r="D1403" s="3" t="str">
        <f>"F800-20-1049-(AR 2.7)"</f>
        <v>F800-20-1049-(AR 2.7)</v>
      </c>
      <c r="E1403" s="3" t="str">
        <f>"Arthur's back to school day"</f>
        <v>Arthur's back to school day</v>
      </c>
      <c r="F1403" s="3" t="str">
        <f>"story and pictures by Lillian Hoban"</f>
        <v>story and pictures by Lillian Hoban</v>
      </c>
      <c r="G1403" s="3" t="str">
        <f>"HarperTrophy"</f>
        <v>HarperTrophy</v>
      </c>
      <c r="H1403" s="2" t="str">
        <f>"1998"</f>
        <v>1998</v>
      </c>
      <c r="I1403" s="3" t="str">
        <f>""</f>
        <v/>
      </c>
    </row>
    <row r="1404" spans="1:9" x14ac:dyDescent="0.3">
      <c r="A1404" s="2">
        <v>1403</v>
      </c>
      <c r="B1404" s="4" t="s">
        <v>28</v>
      </c>
      <c r="C1404" s="3" t="str">
        <f>"TFC000000948"</f>
        <v>TFC000000948</v>
      </c>
      <c r="D1404" s="3" t="str">
        <f>"F800-20-1050-(AR 2.7)"</f>
        <v>F800-20-1050-(AR 2.7)</v>
      </c>
      <c r="E1404" s="3" t="str">
        <f>"(The)lighthouse children"</f>
        <v>(The)lighthouse children</v>
      </c>
      <c r="F1404" s="3" t="str">
        <f>"story and pictures by Syd Hoff"</f>
        <v>story and pictures by Syd Hoff</v>
      </c>
      <c r="G1404" s="3" t="str">
        <f>"HarperTrophy:Moonjin Media"</f>
        <v>HarperTrophy:Moonjin Media</v>
      </c>
      <c r="H1404" s="2" t="str">
        <f>"1996"</f>
        <v>1996</v>
      </c>
      <c r="I1404" s="3" t="str">
        <f>""</f>
        <v/>
      </c>
    </row>
    <row r="1405" spans="1:9" x14ac:dyDescent="0.3">
      <c r="A1405" s="2">
        <v>1404</v>
      </c>
      <c r="B1405" s="4" t="s">
        <v>28</v>
      </c>
      <c r="C1405" s="3" t="str">
        <f>"TFC000000949"</f>
        <v>TFC000000949</v>
      </c>
      <c r="D1405" s="3" t="str">
        <f>"F800-20-1051-(AR 2.7)"</f>
        <v>F800-20-1051-(AR 2.7)</v>
      </c>
      <c r="E1405" s="3" t="str">
        <f>"Frog went a-courtin'"</f>
        <v>Frog went a-courtin'</v>
      </c>
      <c r="F1405" s="3" t="str">
        <f>"retold by John M. Langstaff ; pictures by Feodor Rojankovsky ; Fritz Eichenberg"</f>
        <v>retold by John M. Langstaff ; pictures by Feodor Rojankovsky ; Fritz Eichenberg</v>
      </c>
      <c r="G1405" s="3" t="str">
        <f>"Harcourt"</f>
        <v>Harcourt</v>
      </c>
      <c r="H1405" s="2" t="str">
        <f>"1955"</f>
        <v>1955</v>
      </c>
      <c r="I1405" s="3" t="str">
        <f>""</f>
        <v/>
      </c>
    </row>
    <row r="1406" spans="1:9" x14ac:dyDescent="0.3">
      <c r="A1406" s="2">
        <v>1405</v>
      </c>
      <c r="B1406" s="4" t="s">
        <v>28</v>
      </c>
      <c r="C1406" s="3" t="str">
        <f>"TFC000000950"</f>
        <v>TFC000000950</v>
      </c>
      <c r="D1406" s="3" t="str">
        <f>"F800-20-1052-(AR 2.7)"</f>
        <v>F800-20-1052-(AR 2.7)</v>
      </c>
      <c r="E1406" s="3" t="str">
        <f>"It's mine!"</f>
        <v>It's mine!</v>
      </c>
      <c r="F1406" s="3" t="str">
        <f>"by Leo Lionni"</f>
        <v>by Leo Lionni</v>
      </c>
      <c r="G1406" s="3" t="str">
        <f>"Dragonfly Books"</f>
        <v>Dragonfly Books</v>
      </c>
      <c r="H1406" s="2" t="str">
        <f>"1985"</f>
        <v>1985</v>
      </c>
      <c r="I1406" s="3" t="str">
        <f>""</f>
        <v/>
      </c>
    </row>
    <row r="1407" spans="1:9" x14ac:dyDescent="0.3">
      <c r="A1407" s="2">
        <v>1406</v>
      </c>
      <c r="B1407" s="4" t="s">
        <v>28</v>
      </c>
      <c r="C1407" s="3" t="str">
        <f>"TFC000000951"</f>
        <v>TFC000000951</v>
      </c>
      <c r="D1407" s="3" t="str">
        <f>"F800-20-1053-(AR 2.7)"</f>
        <v>F800-20-1053-(AR 2.7)</v>
      </c>
      <c r="E1407" s="3" t="str">
        <f>"Owl at home"</f>
        <v>Owl at home</v>
      </c>
      <c r="F1407" s="3" t="str">
        <f>"by Arnold Lobel"</f>
        <v>by Arnold Lobel</v>
      </c>
      <c r="G1407" s="3" t="str">
        <f>"HarperCollins Publishers"</f>
        <v>HarperCollins Publishers</v>
      </c>
      <c r="H1407" s="2" t="str">
        <f>"1975"</f>
        <v>1975</v>
      </c>
      <c r="I1407" s="3" t="str">
        <f>""</f>
        <v/>
      </c>
    </row>
    <row r="1408" spans="1:9" x14ac:dyDescent="0.3">
      <c r="A1408" s="2">
        <v>1407</v>
      </c>
      <c r="B1408" s="4" t="s">
        <v>28</v>
      </c>
      <c r="C1408" s="3" t="str">
        <f>"TFC000000952"</f>
        <v>TFC000000952</v>
      </c>
      <c r="D1408" s="3" t="str">
        <f>"F800-20-1054-(AR 2.7)"</f>
        <v>F800-20-1054-(AR 2.7)</v>
      </c>
      <c r="E1408" s="3" t="str">
        <f>"(The)witch who was afraid of witches"</f>
        <v>(The)witch who was afraid of witches</v>
      </c>
      <c r="F1408" s="3" t="str">
        <f>"story by AliceLow ; pictures by Jane Manning"</f>
        <v>story by AliceLow ; pictures by Jane Manning</v>
      </c>
      <c r="G1408" s="3" t="str">
        <f>"HarperCollins"</f>
        <v>HarperCollins</v>
      </c>
      <c r="H1408" s="2" t="str">
        <f>"1999"</f>
        <v>1999</v>
      </c>
      <c r="I1408" s="3" t="str">
        <f>""</f>
        <v/>
      </c>
    </row>
    <row r="1409" spans="1:9" x14ac:dyDescent="0.3">
      <c r="A1409" s="2">
        <v>1408</v>
      </c>
      <c r="B1409" s="4" t="s">
        <v>28</v>
      </c>
      <c r="C1409" s="3" t="str">
        <f>"TFC000000953"</f>
        <v>TFC000000953</v>
      </c>
      <c r="D1409" s="3" t="str">
        <f>"F800-20-1055-(AR 2.7)"</f>
        <v>F800-20-1055-(AR 2.7)</v>
      </c>
      <c r="E1409" s="3" t="str">
        <f>"(The)grandma mix-up"</f>
        <v>(The)grandma mix-up</v>
      </c>
      <c r="F1409" s="3" t="str">
        <f>"by Emily Arnold McCully"</f>
        <v>by Emily Arnold McCully</v>
      </c>
      <c r="G1409" s="3" t="str">
        <f>"HarperTrophy:Moonjin Media"</f>
        <v>HarperTrophy:Moonjin Media</v>
      </c>
      <c r="H1409" s="2" t="str">
        <f>"1991"</f>
        <v>1991</v>
      </c>
      <c r="I1409" s="3" t="str">
        <f>""</f>
        <v/>
      </c>
    </row>
    <row r="1410" spans="1:9" x14ac:dyDescent="0.3">
      <c r="A1410" s="2">
        <v>1409</v>
      </c>
      <c r="B1410" s="4" t="s">
        <v>28</v>
      </c>
      <c r="C1410" s="3" t="str">
        <f>"TFC000000954"</f>
        <v>TFC000000954</v>
      </c>
      <c r="D1410" s="3" t="str">
        <f>"F800-20-1056-(AR 2.7)"</f>
        <v>F800-20-1056-(AR 2.7)</v>
      </c>
      <c r="E1410" s="3" t="str">
        <f>"(The)true story of Pocahontas"</f>
        <v>(The)true story of Pocahontas</v>
      </c>
      <c r="F1410" s="3" t="str">
        <f>"by Lucille Recht Penner ; illustrated by Pamela Johnson"</f>
        <v>by Lucille Recht Penner ; illustrated by Pamela Johnson</v>
      </c>
      <c r="G1410" s="3" t="str">
        <f>"Random House"</f>
        <v>Random House</v>
      </c>
      <c r="H1410" s="2" t="str">
        <f>"1994"</f>
        <v>1994</v>
      </c>
      <c r="I1410" s="3" t="str">
        <f>""</f>
        <v/>
      </c>
    </row>
    <row r="1411" spans="1:9" x14ac:dyDescent="0.3">
      <c r="A1411" s="2">
        <v>1410</v>
      </c>
      <c r="B1411" s="4" t="s">
        <v>28</v>
      </c>
      <c r="C1411" s="3" t="str">
        <f>"TFC000000955"</f>
        <v>TFC000000955</v>
      </c>
      <c r="D1411" s="3" t="str">
        <f>"F800-20-1057-(AR 2.7)"</f>
        <v>F800-20-1057-(AR 2.7)</v>
      </c>
      <c r="E1411" s="3" t="str">
        <f>"(The)chalk box kid"</f>
        <v>(The)chalk box kid</v>
      </c>
      <c r="F1411" s="3" t="str">
        <f>"by Clyde Robert Bulla ; illustrated by Thomas B. Allen"</f>
        <v>by Clyde Robert Bulla ; illustrated by Thomas B. Allen</v>
      </c>
      <c r="G1411" s="3" t="str">
        <f>"Random House"</f>
        <v>Random House</v>
      </c>
      <c r="H1411" s="2" t="str">
        <f>"1987"</f>
        <v>1987</v>
      </c>
      <c r="I1411" s="3" t="str">
        <f>""</f>
        <v/>
      </c>
    </row>
    <row r="1412" spans="1:9" x14ac:dyDescent="0.3">
      <c r="A1412" s="2">
        <v>1411</v>
      </c>
      <c r="B1412" s="4" t="s">
        <v>28</v>
      </c>
      <c r="C1412" s="3" t="str">
        <f>"TFC000000956"</f>
        <v>TFC000000956</v>
      </c>
      <c r="D1412" s="3" t="str">
        <f>"F800-20-1058-(AR 2.7)"</f>
        <v>F800-20-1058-(AR 2.7)</v>
      </c>
      <c r="E1412" s="3" t="str">
        <f>"May I bring a friend?"</f>
        <v>May I bring a friend?</v>
      </c>
      <c r="F1412" s="3" t="str">
        <f>"by Beatrice Schenk de Regniers ; illustrated by Beni Montresor"</f>
        <v>by Beatrice Schenk de Regniers ; illustrated by Beni Montresor</v>
      </c>
      <c r="G1412" s="3" t="str">
        <f>"Aladdin Paperbacks"</f>
        <v>Aladdin Paperbacks</v>
      </c>
      <c r="H1412" s="2" t="str">
        <f>"1989"</f>
        <v>1989</v>
      </c>
      <c r="I1412" s="3" t="str">
        <f>""</f>
        <v/>
      </c>
    </row>
    <row r="1413" spans="1:9" x14ac:dyDescent="0.3">
      <c r="A1413" s="2">
        <v>1412</v>
      </c>
      <c r="B1413" s="4" t="s">
        <v>28</v>
      </c>
      <c r="C1413" s="3" t="str">
        <f>"TFC000000957"</f>
        <v>TFC000000957</v>
      </c>
      <c r="D1413" s="3" t="str">
        <f>"F800-20-1059-(AR 2.7)"</f>
        <v>F800-20-1059-(AR 2.7)</v>
      </c>
      <c r="E1413" s="3" t="str">
        <f>"Not enough room!"</f>
        <v>Not enough room!</v>
      </c>
      <c r="F1413" s="3" t="str">
        <f>"by Joanna Rocklin ; illustrated by Cristina Ong"</f>
        <v>by Joanna Rocklin ; illustrated by Cristina Ong</v>
      </c>
      <c r="G1413" s="3" t="str">
        <f>"Scholastic"</f>
        <v>Scholastic</v>
      </c>
      <c r="H1413" s="2" t="str">
        <f>"2004"</f>
        <v>2004</v>
      </c>
      <c r="I1413" s="3" t="str">
        <f>""</f>
        <v/>
      </c>
    </row>
    <row r="1414" spans="1:9" x14ac:dyDescent="0.3">
      <c r="A1414" s="2">
        <v>1413</v>
      </c>
      <c r="B1414" s="4" t="s">
        <v>28</v>
      </c>
      <c r="C1414" s="3" t="str">
        <f>"TFC000000958"</f>
        <v>TFC000000958</v>
      </c>
      <c r="D1414" s="3" t="str">
        <f>"F800-20-1060-(AR 2.7)"</f>
        <v>F800-20-1060-(AR 2.7)</v>
      </c>
      <c r="E1414" s="3" t="str">
        <f>"(The)long way to a new land"</f>
        <v>(The)long way to a new land</v>
      </c>
      <c r="F1414" s="3" t="str">
        <f>"by Joan Sandin"</f>
        <v>by Joan Sandin</v>
      </c>
      <c r="G1414" s="3" t="str">
        <f>"HarperTrophy"</f>
        <v>HarperTrophy</v>
      </c>
      <c r="H1414" s="2" t="str">
        <f>"1981"</f>
        <v>1981</v>
      </c>
      <c r="I1414" s="3" t="str">
        <f>""</f>
        <v/>
      </c>
    </row>
    <row r="1415" spans="1:9" x14ac:dyDescent="0.3">
      <c r="A1415" s="2">
        <v>1414</v>
      </c>
      <c r="B1415" s="4" t="s">
        <v>28</v>
      </c>
      <c r="C1415" s="3" t="str">
        <f>"TFC000000959"</f>
        <v>TFC000000959</v>
      </c>
      <c r="D1415" s="3" t="str">
        <f>"F800-20-1061-(AR 2.7)"</f>
        <v>F800-20-1061-(AR 2.7)</v>
      </c>
      <c r="E1415" s="3" t="str">
        <f>"Ghosts! : ghostly tales from folklore"</f>
        <v>Ghosts! : ghostly tales from folklore</v>
      </c>
      <c r="F1415" s="3" t="str">
        <f>"by Alvin Schwartz ; illustrated by Victoria Chess"</f>
        <v>by Alvin Schwartz ; illustrated by Victoria Chess</v>
      </c>
      <c r="G1415" s="3" t="str">
        <f>"HarperTrophy:Moonjin Media"</f>
        <v>HarperTrophy:Moonjin Media</v>
      </c>
      <c r="H1415" s="2" t="str">
        <f>"1991"</f>
        <v>1991</v>
      </c>
      <c r="I1415" s="3" t="str">
        <f>""</f>
        <v/>
      </c>
    </row>
    <row r="1416" spans="1:9" x14ac:dyDescent="0.3">
      <c r="A1416" s="2">
        <v>1415</v>
      </c>
      <c r="B1416" s="4" t="s">
        <v>28</v>
      </c>
      <c r="C1416" s="3" t="str">
        <f>"TFC000000964"</f>
        <v>TFC000000964</v>
      </c>
      <c r="D1416" s="3" t="str">
        <f>"F800-20-1066-(AR 2.7)"</f>
        <v>F800-20-1066-(AR 2.7)</v>
      </c>
      <c r="E1416" s="3" t="str">
        <f>"(The)fox went out on a chilly night"</f>
        <v>(The)fox went out on a chilly night</v>
      </c>
      <c r="F1416" s="3" t="str">
        <f>"an old song illustrated byby Peter Spier"</f>
        <v>an old song illustrated byby Peter Spier</v>
      </c>
      <c r="G1416" s="3" t="str">
        <f>"Dragonfly Books"</f>
        <v>Dragonfly Books</v>
      </c>
      <c r="H1416" s="2" t="str">
        <f>"1989"</f>
        <v>1989</v>
      </c>
      <c r="I1416" s="3" t="str">
        <f>""</f>
        <v/>
      </c>
    </row>
    <row r="1417" spans="1:9" x14ac:dyDescent="0.3">
      <c r="A1417" s="2">
        <v>1416</v>
      </c>
      <c r="B1417" s="4" t="s">
        <v>28</v>
      </c>
      <c r="C1417" s="3" t="str">
        <f>"TFC000000965"</f>
        <v>TFC000000965</v>
      </c>
      <c r="D1417" s="3" t="str">
        <f>"F800-20-1067-(AR 2.7)"</f>
        <v>F800-20-1067-(AR 2.7)</v>
      </c>
      <c r="E1417" s="3" t="str">
        <f>"(The)18 penny goose"</f>
        <v>(The)18 penny goose</v>
      </c>
      <c r="F1417" s="3" t="str">
        <f>"by Sally M. Walker ; pictures by Ellen Beier"</f>
        <v>by Sally M. Walker ; pictures by Ellen Beier</v>
      </c>
      <c r="G1417" s="3" t="str">
        <f>"HarperTrophy"</f>
        <v>HarperTrophy</v>
      </c>
      <c r="H1417" s="2" t="str">
        <f>"1999"</f>
        <v>1999</v>
      </c>
      <c r="I1417" s="3" t="str">
        <f>""</f>
        <v/>
      </c>
    </row>
    <row r="1418" spans="1:9" x14ac:dyDescent="0.3">
      <c r="A1418" s="2">
        <v>1417</v>
      </c>
      <c r="B1418" s="4" t="s">
        <v>28</v>
      </c>
      <c r="C1418" s="3" t="str">
        <f>"TFC000000966"</f>
        <v>TFC000000966</v>
      </c>
      <c r="D1418" s="3" t="str">
        <f>"F800-20-1068-(AR 2.7)"</f>
        <v>F800-20-1068-(AR 2.7)</v>
      </c>
      <c r="E1418" s="3" t="str">
        <f>"Little penguin's tale"</f>
        <v>Little penguin's tale</v>
      </c>
      <c r="F1418" s="3" t="str">
        <f>"by Audrey Wood"</f>
        <v>by Audrey Wood</v>
      </c>
      <c r="G1418" s="3" t="str">
        <f>"Voyager Books"</f>
        <v>Voyager Books</v>
      </c>
      <c r="H1418" s="2" t="str">
        <f>"1989"</f>
        <v>1989</v>
      </c>
      <c r="I1418" s="3" t="str">
        <f>""</f>
        <v/>
      </c>
    </row>
    <row r="1419" spans="1:9" x14ac:dyDescent="0.3">
      <c r="A1419" s="2">
        <v>1418</v>
      </c>
      <c r="B1419" s="4" t="s">
        <v>28</v>
      </c>
      <c r="C1419" s="3" t="str">
        <f>"TFC000000967"</f>
        <v>TFC000000967</v>
      </c>
      <c r="D1419" s="3" t="str">
        <f>"F800-20-1069-(AR 2.7)"</f>
        <v>F800-20-1069-(AR 2.7)</v>
      </c>
      <c r="E1419" s="3" t="str">
        <f>"Young Cam Jansen and the spotted cat mystery"</f>
        <v>Young Cam Jansen and the spotted cat mystery</v>
      </c>
      <c r="F1419" s="3" t="str">
        <f>"by David Adler ; illustrated by Susanna Natti"</f>
        <v>by David Adler ; illustrated by Susanna Natti</v>
      </c>
      <c r="G1419" s="3" t="str">
        <f>"Puffin Books"</f>
        <v>Puffin Books</v>
      </c>
      <c r="H1419" s="2" t="str">
        <f>"2007"</f>
        <v>2007</v>
      </c>
      <c r="I1419" s="3" t="str">
        <f>""</f>
        <v/>
      </c>
    </row>
    <row r="1420" spans="1:9" x14ac:dyDescent="0.3">
      <c r="A1420" s="2">
        <v>1419</v>
      </c>
      <c r="B1420" s="4" t="s">
        <v>28</v>
      </c>
      <c r="C1420" s="3" t="str">
        <f>"TFC000000968"</f>
        <v>TFC000000968</v>
      </c>
      <c r="D1420" s="3" t="str">
        <f>"F800-20-1070-(AR 2.7)"</f>
        <v>F800-20-1070-(AR 2.7)</v>
      </c>
      <c r="E1420" s="3" t="str">
        <f>"(A)visitor for Bear"</f>
        <v>(A)visitor for Bear</v>
      </c>
      <c r="F1420" s="3" t="str">
        <f>"Bonny Becker ; illustrated by Kady MacDonald Denton"</f>
        <v>Bonny Becker ; illustrated by Kady MacDonald Denton</v>
      </c>
      <c r="G1420" s="3" t="str">
        <f>"Candlewick Press"</f>
        <v>Candlewick Press</v>
      </c>
      <c r="H1420" s="2" t="str">
        <f>"2012"</f>
        <v>2012</v>
      </c>
      <c r="I1420" s="3" t="str">
        <f>""</f>
        <v/>
      </c>
    </row>
    <row r="1421" spans="1:9" x14ac:dyDescent="0.3">
      <c r="A1421" s="2">
        <v>1420</v>
      </c>
      <c r="B1421" s="4" t="s">
        <v>28</v>
      </c>
      <c r="C1421" s="3" t="str">
        <f>"TFC000000969"</f>
        <v>TFC000000969</v>
      </c>
      <c r="D1421" s="3" t="str">
        <f>"F800-20-1071-(AR 2.7)"</f>
        <v>F800-20-1071-(AR 2.7)</v>
      </c>
      <c r="E1421" s="3" t="str">
        <f>"Over in the ocean : in a coral reef"</f>
        <v>Over in the ocean : in a coral reef</v>
      </c>
      <c r="F1421" s="3" t="str">
        <f>"by Marianne Berkes ; illustrated by Jeanette Canyon"</f>
        <v>by Marianne Berkes ; illustrated by Jeanette Canyon</v>
      </c>
      <c r="G1421" s="3" t="str">
        <f>"Dawn Publications"</f>
        <v>Dawn Publications</v>
      </c>
      <c r="H1421" s="2" t="str">
        <f>"2004"</f>
        <v>2004</v>
      </c>
      <c r="I1421" s="3" t="str">
        <f>""</f>
        <v/>
      </c>
    </row>
    <row r="1422" spans="1:9" x14ac:dyDescent="0.3">
      <c r="A1422" s="2">
        <v>1421</v>
      </c>
      <c r="B1422" s="4" t="s">
        <v>28</v>
      </c>
      <c r="C1422" s="3" t="str">
        <f>"TFC000000971"</f>
        <v>TFC000000971</v>
      </c>
      <c r="D1422" s="3" t="str">
        <f>"F800-20-1073-(AR 2.7)"</f>
        <v>F800-20-1073-(AR 2.7)</v>
      </c>
      <c r="E1422" s="3" t="str">
        <f>"(The)umbrella"</f>
        <v>(The)umbrella</v>
      </c>
      <c r="F1422" s="3" t="str">
        <f>"Jan Brett"</f>
        <v>Jan Brett</v>
      </c>
      <c r="G1422" s="3" t="str">
        <f>"G.P. Putnam's Sons"</f>
        <v>G.P. Putnam's Sons</v>
      </c>
      <c r="H1422" s="2" t="str">
        <f>"2011"</f>
        <v>2011</v>
      </c>
      <c r="I1422" s="3" t="str">
        <f>""</f>
        <v/>
      </c>
    </row>
    <row r="1423" spans="1:9" x14ac:dyDescent="0.3">
      <c r="A1423" s="2">
        <v>1422</v>
      </c>
      <c r="B1423" s="4" t="s">
        <v>28</v>
      </c>
      <c r="C1423" s="3" t="str">
        <f>"TFC000000972"</f>
        <v>TFC000000972</v>
      </c>
      <c r="D1423" s="3" t="str">
        <f>"F800-20-1074-(AR 2.7)"</f>
        <v>F800-20-1074-(AR 2.7)</v>
      </c>
      <c r="E1423" s="3" t="str">
        <f>"I am going to save a panda!"</f>
        <v>I am going to save a panda!</v>
      </c>
      <c r="F1423" s="3" t="str">
        <f>"characters created by Lauren Child"</f>
        <v>characters created by Lauren Child</v>
      </c>
      <c r="G1423" s="3" t="str">
        <f>"Grosset &amp; Dunlap"</f>
        <v>Grosset &amp; Dunlap</v>
      </c>
      <c r="H1423" s="2" t="str">
        <f>"2010"</f>
        <v>2010</v>
      </c>
      <c r="I1423" s="3" t="str">
        <f>""</f>
        <v/>
      </c>
    </row>
    <row r="1424" spans="1:9" x14ac:dyDescent="0.3">
      <c r="A1424" s="2">
        <v>1423</v>
      </c>
      <c r="B1424" s="4" t="s">
        <v>28</v>
      </c>
      <c r="C1424" s="3" t="str">
        <f>"TFC000000973"</f>
        <v>TFC000000973</v>
      </c>
      <c r="D1424" s="3" t="str">
        <f>"F800-20-1075-(AR 2.7)"</f>
        <v>F800-20-1075-(AR 2.7)</v>
      </c>
      <c r="E1424" s="3" t="str">
        <f>"I will never not ever eat a tomato"</f>
        <v>I will never not ever eat a tomato</v>
      </c>
      <c r="F1424" s="3" t="str">
        <f>"Lauren Child"</f>
        <v>Lauren Child</v>
      </c>
      <c r="G1424" s="3" t="str">
        <f>"Candlewick Press"</f>
        <v>Candlewick Press</v>
      </c>
      <c r="H1424" s="2" t="str">
        <f>"2016"</f>
        <v>2016</v>
      </c>
      <c r="I1424" s="3" t="str">
        <f>""</f>
        <v/>
      </c>
    </row>
    <row r="1425" spans="1:9" x14ac:dyDescent="0.3">
      <c r="A1425" s="2">
        <v>1424</v>
      </c>
      <c r="B1425" s="4" t="s">
        <v>28</v>
      </c>
      <c r="C1425" s="3" t="str">
        <f>"TFC000000974"</f>
        <v>TFC000000974</v>
      </c>
      <c r="D1425" s="3" t="str">
        <f>"F800-20-1076-(AR 2.7)"</f>
        <v>F800-20-1076-(AR 2.7)</v>
      </c>
      <c r="E1425" s="3" t="str">
        <f>"Click, clack, quack to school!"</f>
        <v>Click, clack, quack to school!</v>
      </c>
      <c r="F1425" s="3" t="str">
        <f>"Doreen Cronin ; illustrated by Betsy Lewin"</f>
        <v>Doreen Cronin ; illustrated by Betsy Lewin</v>
      </c>
      <c r="G1425" s="3" t="str">
        <f>"Atheneum Books for Young Readers"</f>
        <v>Atheneum Books for Young Readers</v>
      </c>
      <c r="H1425" s="2" t="str">
        <f>"2018"</f>
        <v>2018</v>
      </c>
      <c r="I1425" s="3" t="str">
        <f>""</f>
        <v/>
      </c>
    </row>
    <row r="1426" spans="1:9" x14ac:dyDescent="0.3">
      <c r="A1426" s="2">
        <v>1425</v>
      </c>
      <c r="B1426" s="4" t="s">
        <v>28</v>
      </c>
      <c r="C1426" s="3" t="str">
        <f>"TFC000000975"</f>
        <v>TFC000000975</v>
      </c>
      <c r="D1426" s="3" t="str">
        <f>"F800-20-1077-(AR 2.7)"</f>
        <v>F800-20-1077-(AR 2.7)</v>
      </c>
      <c r="E1426" s="3" t="str">
        <f>"(The)great leprechaun chase"</f>
        <v>(The)great leprechaun chase</v>
      </c>
      <c r="F1426" s="3" t="str">
        <f>"by James Dean"</f>
        <v>by James Dean</v>
      </c>
      <c r="G1426" s="3" t="str">
        <f>"Harper"</f>
        <v>Harper</v>
      </c>
      <c r="H1426" s="2" t="str">
        <f>"2019"</f>
        <v>2019</v>
      </c>
      <c r="I1426" s="3" t="str">
        <f>""</f>
        <v/>
      </c>
    </row>
    <row r="1427" spans="1:9" x14ac:dyDescent="0.3">
      <c r="A1427" s="2">
        <v>1426</v>
      </c>
      <c r="B1427" s="4" t="s">
        <v>28</v>
      </c>
      <c r="C1427" s="3" t="str">
        <f>"TFC000000977"</f>
        <v>TFC000000977</v>
      </c>
      <c r="D1427" s="3" t="str">
        <f>"F800-20-1079-(AR 2.7)"</f>
        <v>F800-20-1079-(AR 2.7)</v>
      </c>
      <c r="E1427" s="3" t="str">
        <f>"Mercy Watson to the rescue"</f>
        <v>Mercy Watson to the rescue</v>
      </c>
      <c r="F1427" s="3" t="str">
        <f>"Kate DiCamillo ; illustrated by Chris van Dusen"</f>
        <v>Kate DiCamillo ; illustrated by Chris van Dusen</v>
      </c>
      <c r="G1427" s="3" t="str">
        <f>"Candlewick Press"</f>
        <v>Candlewick Press</v>
      </c>
      <c r="H1427" s="2" t="str">
        <f>"2009"</f>
        <v>2009</v>
      </c>
      <c r="I1427" s="3" t="str">
        <f>""</f>
        <v/>
      </c>
    </row>
    <row r="1428" spans="1:9" x14ac:dyDescent="0.3">
      <c r="A1428" s="2">
        <v>1427</v>
      </c>
      <c r="B1428" s="4" t="s">
        <v>28</v>
      </c>
      <c r="C1428" s="3" t="str">
        <f>"TFC000000979"</f>
        <v>TFC000000979</v>
      </c>
      <c r="D1428" s="3" t="str">
        <f>"F800-20-1081-(AR 2.7)"</f>
        <v>F800-20-1081-(AR 2.7)</v>
      </c>
      <c r="E1428" s="3" t="str">
        <f>"(The)burglar's breakfast"</f>
        <v>(The)burglar's breakfast</v>
      </c>
      <c r="F1428" s="3" t="str">
        <f>"by Felicity Everett ; adapted by Lesley Sims ; illustrated by Christyan Fox"</f>
        <v>by Felicity Everett ; adapted by Lesley Sims ; illustrated by Christyan Fox</v>
      </c>
      <c r="G1428" s="3" t="str">
        <f>"Usborne"</f>
        <v>Usborne</v>
      </c>
      <c r="H1428" s="2" t="str">
        <f>"2007"</f>
        <v>2007</v>
      </c>
      <c r="I1428" s="3" t="str">
        <f>""</f>
        <v/>
      </c>
    </row>
    <row r="1429" spans="1:9" x14ac:dyDescent="0.3">
      <c r="A1429" s="2">
        <v>1428</v>
      </c>
      <c r="B1429" s="4" t="s">
        <v>28</v>
      </c>
      <c r="C1429" s="3" t="str">
        <f>"TFC000000980"</f>
        <v>TFC000000980</v>
      </c>
      <c r="D1429" s="3" t="str">
        <f>"F800-20-1082-(AR 2.7)"</f>
        <v>F800-20-1082-(AR 2.7)</v>
      </c>
      <c r="E1429" s="3" t="str">
        <f>"(The)monster gang"</f>
        <v>(The)monster gang</v>
      </c>
      <c r="F1429" s="3" t="str">
        <f>"by Felicity Everett ; adapted by Gill Harvey ; illustrated by Teri Gower"</f>
        <v>by Felicity Everett ; adapted by Gill Harvey ; illustrated by Teri Gower</v>
      </c>
      <c r="G1429" s="3" t="str">
        <f>"Usborne"</f>
        <v>Usborne</v>
      </c>
      <c r="H1429" s="2" t="str">
        <f>"2002"</f>
        <v>2002</v>
      </c>
      <c r="I1429" s="3" t="str">
        <f>""</f>
        <v/>
      </c>
    </row>
    <row r="1430" spans="1:9" x14ac:dyDescent="0.3">
      <c r="A1430" s="2">
        <v>1429</v>
      </c>
      <c r="B1430" s="4" t="s">
        <v>28</v>
      </c>
      <c r="C1430" s="3" t="str">
        <f>"TFC000000981"</f>
        <v>TFC000000981</v>
      </c>
      <c r="D1430" s="3" t="str">
        <f>"F800-20-1083-(AR 2.7)"</f>
        <v>F800-20-1083-(AR 2.7)</v>
      </c>
      <c r="E1430" s="3" t="str">
        <f>"No lie, pigs (and their houses) can fly! : the story of the three little pigs as told by the wolf"</f>
        <v>No lie, pigs (and their houses) can fly! : the story of the three little pigs as told by the wolf</v>
      </c>
      <c r="F1430" s="3" t="str">
        <f>"by Jessica Gunderson ; illustrated by Cristian Bernardini"</f>
        <v>by Jessica Gunderson ; illustrated by Cristian Bernardini</v>
      </c>
      <c r="G1430" s="3" t="str">
        <f>"Picture Window Books"</f>
        <v>Picture Window Books</v>
      </c>
      <c r="H1430" s="2" t="str">
        <f>"2016"</f>
        <v>2016</v>
      </c>
      <c r="I1430" s="3" t="str">
        <f>""</f>
        <v/>
      </c>
    </row>
    <row r="1431" spans="1:9" x14ac:dyDescent="0.3">
      <c r="A1431" s="2">
        <v>1430</v>
      </c>
      <c r="B1431" s="4" t="s">
        <v>28</v>
      </c>
      <c r="C1431" s="3" t="str">
        <f>"TFC000000982"</f>
        <v>TFC000000982</v>
      </c>
      <c r="D1431" s="3" t="str">
        <f>"F800-20-1084-(AR 2.7)"</f>
        <v>F800-20-1084-(AR 2.7)</v>
      </c>
      <c r="E1431" s="3" t="str">
        <f>"Billy Boo is stuck in goo"</f>
        <v>Billy Boo is stuck in goo</v>
      </c>
      <c r="F1431" s="3" t="str">
        <f>"by Jennifer Hamburg ; illustrations by Ross Burach"</f>
        <v>by Jennifer Hamburg ; illustrations by Ross Burach</v>
      </c>
      <c r="G1431" s="3" t="str">
        <f>"Scholastic Press"</f>
        <v>Scholastic Press</v>
      </c>
      <c r="H1431" s="2" t="str">
        <f>"2017"</f>
        <v>2017</v>
      </c>
      <c r="I1431" s="3" t="str">
        <f>""</f>
        <v/>
      </c>
    </row>
    <row r="1432" spans="1:9" x14ac:dyDescent="0.3">
      <c r="A1432" s="2">
        <v>1431</v>
      </c>
      <c r="B1432" s="4" t="s">
        <v>28</v>
      </c>
      <c r="C1432" s="3" t="str">
        <f>"TFC000000983"</f>
        <v>TFC000000983</v>
      </c>
      <c r="D1432" s="3" t="str">
        <f>"F800-20-1085-(AR 2.7)"</f>
        <v>F800-20-1085-(AR 2.7)</v>
      </c>
      <c r="E1432" s="3" t="str">
        <f>"(A)weekend with wendell"</f>
        <v>(A)weekend with wendell</v>
      </c>
      <c r="F1432" s="3" t="str">
        <f>"by Kevin Henkes"</f>
        <v>by Kevin Henkes</v>
      </c>
      <c r="G1432" s="3" t="str">
        <f>"Greenwillow Books"</f>
        <v>Greenwillow Books</v>
      </c>
      <c r="H1432" s="2" t="str">
        <f>"1986"</f>
        <v>1986</v>
      </c>
      <c r="I1432" s="3" t="str">
        <f>""</f>
        <v/>
      </c>
    </row>
    <row r="1433" spans="1:9" x14ac:dyDescent="0.3">
      <c r="A1433" s="2">
        <v>1432</v>
      </c>
      <c r="B1433" s="4" t="s">
        <v>28</v>
      </c>
      <c r="C1433" s="3" t="str">
        <f>"TFC000000984"</f>
        <v>TFC000000984</v>
      </c>
      <c r="D1433" s="3" t="str">
        <f>"F800-20-1086-(AR 2.7)"</f>
        <v>F800-20-1086-(AR 2.7)</v>
      </c>
      <c r="E1433" s="3" t="str">
        <f>"Wemberly worried"</f>
        <v>Wemberly worried</v>
      </c>
      <c r="F1433" s="3" t="str">
        <f>"Kevin Henkes"</f>
        <v>Kevin Henkes</v>
      </c>
      <c r="G1433" s="3" t="str">
        <f>"Greenwillow Books"</f>
        <v>Greenwillow Books</v>
      </c>
      <c r="H1433" s="2" t="str">
        <f>"2000"</f>
        <v>2000</v>
      </c>
      <c r="I1433" s="3" t="str">
        <f>""</f>
        <v/>
      </c>
    </row>
    <row r="1434" spans="1:9" x14ac:dyDescent="0.3">
      <c r="A1434" s="2">
        <v>1433</v>
      </c>
      <c r="B1434" s="4" t="s">
        <v>28</v>
      </c>
      <c r="C1434" s="3" t="str">
        <f>"TFC000000985"</f>
        <v>TFC000000985</v>
      </c>
      <c r="D1434" s="3" t="str">
        <f>"F800-20-1087-(AR 2.7)"</f>
        <v>F800-20-1087-(AR 2.7)</v>
      </c>
      <c r="E1434" s="3" t="str">
        <f>"Bruce's big storm"</f>
        <v>Bruce's big storm</v>
      </c>
      <c r="F1434" s="3" t="str">
        <f>"Ryan T. Higgins"</f>
        <v>Ryan T. Higgins</v>
      </c>
      <c r="G1434" s="3" t="str">
        <f>"Disney·Hyperion"</f>
        <v>Disney·Hyperion</v>
      </c>
      <c r="H1434" s="2" t="str">
        <f>"2019"</f>
        <v>2019</v>
      </c>
      <c r="I1434" s="3" t="str">
        <f>""</f>
        <v/>
      </c>
    </row>
    <row r="1435" spans="1:9" x14ac:dyDescent="0.3">
      <c r="A1435" s="2">
        <v>1434</v>
      </c>
      <c r="B1435" s="4" t="s">
        <v>28</v>
      </c>
      <c r="C1435" s="3" t="str">
        <f>"TFC000000986"</f>
        <v>TFC000000986</v>
      </c>
      <c r="D1435" s="3" t="str">
        <f>"F800-20-1088-(AR 2.7)"</f>
        <v>F800-20-1088-(AR 2.7)</v>
      </c>
      <c r="E1435" s="3" t="str">
        <f>"Very short Fables to read together"</f>
        <v>Very short Fables to read together</v>
      </c>
      <c r="F1435" s="3" t="str">
        <f>"by Mary Ann Hoberman ; illustrated by Michael Emberley"</f>
        <v>by Mary Ann Hoberman ; illustrated by Michael Emberley</v>
      </c>
      <c r="G1435" s="3" t="str">
        <f>"Little, Brown and Company"</f>
        <v>Little, Brown and Company</v>
      </c>
      <c r="H1435" s="2" t="str">
        <f>"2010"</f>
        <v>2010</v>
      </c>
      <c r="I1435" s="3" t="str">
        <f>""</f>
        <v/>
      </c>
    </row>
    <row r="1436" spans="1:9" x14ac:dyDescent="0.3">
      <c r="A1436" s="2">
        <v>1435</v>
      </c>
      <c r="B1436" s="4" t="s">
        <v>28</v>
      </c>
      <c r="C1436" s="3" t="str">
        <f>"TFC000000987"</f>
        <v>TFC000000987</v>
      </c>
      <c r="D1436" s="3" t="str">
        <f>"F800-20-1089-(AR 2.7)"</f>
        <v>F800-20-1089-(AR 2.7)</v>
      </c>
      <c r="E1436" s="3" t="str">
        <f>"(A)day in London"</f>
        <v>(A)day in London</v>
      </c>
      <c r="F1436" s="3" t="str">
        <f>"written by Roderick Hunt ; illustrated by Alex Brychta"</f>
        <v>written by Roderick Hunt ; illustrated by Alex Brychta</v>
      </c>
      <c r="G1436" s="3" t="str">
        <f>"Oxford University Press"</f>
        <v>Oxford University Press</v>
      </c>
      <c r="H1436" s="2" t="str">
        <f>"2011"</f>
        <v>2011</v>
      </c>
      <c r="I1436" s="3" t="str">
        <f>""</f>
        <v/>
      </c>
    </row>
    <row r="1437" spans="1:9" x14ac:dyDescent="0.3">
      <c r="A1437" s="2">
        <v>1436</v>
      </c>
      <c r="B1437" s="4" t="s">
        <v>28</v>
      </c>
      <c r="C1437" s="3" t="str">
        <f>"TFC000000988"</f>
        <v>TFC000000988</v>
      </c>
      <c r="D1437" s="3" t="str">
        <f>"F800-20-1090-(AR 2.7)"</f>
        <v>F800-20-1090-(AR 2.7)</v>
      </c>
      <c r="E1437" s="3" t="str">
        <f>"Survival adventure"</f>
        <v>Survival adventure</v>
      </c>
      <c r="F1437" s="3" t="str">
        <f>"written by Roderick Hunt ; illustrated by Alex Brychta"</f>
        <v>written by Roderick Hunt ; illustrated by Alex Brychta</v>
      </c>
      <c r="G1437" s="3" t="str">
        <f>"Oxford University Press"</f>
        <v>Oxford University Press</v>
      </c>
      <c r="H1437" s="2" t="str">
        <f>"2011"</f>
        <v>2011</v>
      </c>
      <c r="I1437" s="3" t="str">
        <f>""</f>
        <v/>
      </c>
    </row>
    <row r="1438" spans="1:9" x14ac:dyDescent="0.3">
      <c r="A1438" s="2">
        <v>1437</v>
      </c>
      <c r="B1438" s="4" t="s">
        <v>28</v>
      </c>
      <c r="C1438" s="3" t="str">
        <f>"TFC000000989"</f>
        <v>TFC000000989</v>
      </c>
      <c r="D1438" s="3" t="str">
        <f>"F800-20-1091-(AR 2.7)"</f>
        <v>F800-20-1091-(AR 2.7)</v>
      </c>
      <c r="E1438" s="3" t="str">
        <f>"Pinkalicious"</f>
        <v>Pinkalicious</v>
      </c>
      <c r="F1438" s="3" t="str">
        <f>"written by Victoria Kann, Elizabeth Kann ; illustrated by Victoria Kann"</f>
        <v>written by Victoria Kann, Elizabeth Kann ; illustrated by Victoria Kann</v>
      </c>
      <c r="G1438" s="3" t="str">
        <f>"HarperCollinsPublishers"</f>
        <v>HarperCollinsPublishers</v>
      </c>
      <c r="H1438" s="2" t="str">
        <f>"2006"</f>
        <v>2006</v>
      </c>
      <c r="I1438" s="3" t="str">
        <f>""</f>
        <v/>
      </c>
    </row>
    <row r="1439" spans="1:9" x14ac:dyDescent="0.3">
      <c r="A1439" s="2">
        <v>1438</v>
      </c>
      <c r="B1439" s="4" t="s">
        <v>28</v>
      </c>
      <c r="C1439" s="3" t="str">
        <f>"TFC000000990"</f>
        <v>TFC000000990</v>
      </c>
      <c r="D1439" s="3" t="str">
        <f>"F800-20-1092-(AR 2.7)"</f>
        <v>F800-20-1092-(AR 2.7)</v>
      </c>
      <c r="E1439" s="3" t="str">
        <f>"(The)best chef in second grade"</f>
        <v>(The)best chef in second grade</v>
      </c>
      <c r="F1439" s="3" t="str">
        <f>"story by Katharine Kenah ; pictures by Abby Carter"</f>
        <v>story by Katharine Kenah ; pictures by Abby Carter</v>
      </c>
      <c r="G1439" s="3" t="str">
        <f>"HarperCollins Publihers"</f>
        <v>HarperCollins Publihers</v>
      </c>
      <c r="H1439" s="2" t="str">
        <f>"2007"</f>
        <v>2007</v>
      </c>
      <c r="I1439" s="3" t="str">
        <f>""</f>
        <v/>
      </c>
    </row>
    <row r="1440" spans="1:9" x14ac:dyDescent="0.3">
      <c r="A1440" s="2">
        <v>1439</v>
      </c>
      <c r="B1440" s="4" t="s">
        <v>28</v>
      </c>
      <c r="C1440" s="3" t="str">
        <f>"TFC000000991"</f>
        <v>TFC000000991</v>
      </c>
      <c r="D1440" s="3" t="str">
        <f>"F800-20-1093-(AR 2.7)"</f>
        <v>F800-20-1093-(AR 2.7)</v>
      </c>
      <c r="E1440" s="3" t="str">
        <f>"Christopher Columbus"</f>
        <v>Christopher Columbus</v>
      </c>
      <c r="F1440" s="3" t="str">
        <f>"by Stephen Krensky ; illustrated by Norman Green"</f>
        <v>by Stephen Krensky ; illustrated by Norman Green</v>
      </c>
      <c r="G1440" s="3" t="str">
        <f>"Random House"</f>
        <v>Random House</v>
      </c>
      <c r="H1440" s="2" t="str">
        <f>"1991"</f>
        <v>1991</v>
      </c>
      <c r="I1440" s="3" t="str">
        <f>""</f>
        <v/>
      </c>
    </row>
    <row r="1441" spans="1:9" x14ac:dyDescent="0.3">
      <c r="A1441" s="2">
        <v>1440</v>
      </c>
      <c r="B1441" s="4" t="s">
        <v>28</v>
      </c>
      <c r="C1441" s="3" t="str">
        <f>"TFC000000992"</f>
        <v>TFC000000992</v>
      </c>
      <c r="D1441" s="3" t="str">
        <f>"F800-20-1094-(AR 2.7)"</f>
        <v>F800-20-1094-(AR 2.7)</v>
      </c>
      <c r="E1441" s="3" t="str">
        <f>"Cloudette"</f>
        <v>Cloudette</v>
      </c>
      <c r="F1441" s="3" t="str">
        <f>"Tom Lichtenheld"</f>
        <v>Tom Lichtenheld</v>
      </c>
      <c r="G1441" s="3" t="str">
        <f>"Henry Holt Books for"</f>
        <v>Henry Holt Books for</v>
      </c>
      <c r="H1441" s="2" t="str">
        <f>"2016"</f>
        <v>2016</v>
      </c>
      <c r="I1441" s="3" t="str">
        <f>""</f>
        <v/>
      </c>
    </row>
    <row r="1442" spans="1:9" x14ac:dyDescent="0.3">
      <c r="A1442" s="2">
        <v>1441</v>
      </c>
      <c r="B1442" s="4" t="s">
        <v>28</v>
      </c>
      <c r="C1442" s="3" t="str">
        <f>"TFC000000993"</f>
        <v>TFC000000993</v>
      </c>
      <c r="D1442" s="3" t="str">
        <f>"F800-20-1095-(AR 2.7)"</f>
        <v>F800-20-1095-(AR 2.7)</v>
      </c>
      <c r="E1442" s="3" t="str">
        <f>"Froggy's halloween"</f>
        <v>Froggy's halloween</v>
      </c>
      <c r="F1442" s="3" t="str">
        <f>"by Jonathan London ; illustrated by Frank Remkiewicz"</f>
        <v>by Jonathan London ; illustrated by Frank Remkiewicz</v>
      </c>
      <c r="G1442" s="3" t="str">
        <f>"Puffin Books"</f>
        <v>Puffin Books</v>
      </c>
      <c r="H1442" s="2" t="str">
        <f>"2001"</f>
        <v>2001</v>
      </c>
      <c r="I1442" s="3" t="str">
        <f>""</f>
        <v/>
      </c>
    </row>
    <row r="1443" spans="1:9" x14ac:dyDescent="0.3">
      <c r="A1443" s="2">
        <v>1442</v>
      </c>
      <c r="B1443" s="4" t="s">
        <v>28</v>
      </c>
      <c r="C1443" s="3" t="str">
        <f>"TFC000000994"</f>
        <v>TFC000000994</v>
      </c>
      <c r="D1443" s="3" t="str">
        <f>"F800-20-1096-(AR 2.7)"</f>
        <v>F800-20-1096-(AR 2.7)</v>
      </c>
      <c r="E1443" s="3" t="str">
        <f>"Pirates don't change diapers"</f>
        <v>Pirates don't change diapers</v>
      </c>
      <c r="F1443" s="3" t="str">
        <f>"written by Melinda Long ; illustrated by David Shannon"</f>
        <v>written by Melinda Long ; illustrated by David Shannon</v>
      </c>
      <c r="G1443" s="3" t="str">
        <f>"Harcourt"</f>
        <v>Harcourt</v>
      </c>
      <c r="H1443" s="2" t="str">
        <f>"2007"</f>
        <v>2007</v>
      </c>
      <c r="I1443" s="3" t="str">
        <f>""</f>
        <v/>
      </c>
    </row>
    <row r="1444" spans="1:9" x14ac:dyDescent="0.3">
      <c r="A1444" s="2">
        <v>1443</v>
      </c>
      <c r="B1444" s="4" t="s">
        <v>28</v>
      </c>
      <c r="C1444" s="3" t="str">
        <f>"TFC000000995"</f>
        <v>TFC000000995</v>
      </c>
      <c r="D1444" s="3" t="str">
        <f>"F800-20-1097-(AR 2.7)"</f>
        <v>F800-20-1097-(AR 2.7)</v>
      </c>
      <c r="E1444" s="3" t="str">
        <f>"Rocky Zang in the amazing Mr. Magic"</f>
        <v>Rocky Zang in the amazing Mr. Magic</v>
      </c>
      <c r="F1444" s="3" t="str">
        <f>"Megan McDonald ; illustrated by Erwin Madrid ; based on the characters created by Peter H. Reynolds"</f>
        <v>Megan McDonald ; illustrated by Erwin Madrid ; based on the characters created by Peter H. Reynolds</v>
      </c>
      <c r="G1444" s="3" t="str">
        <f>"Candlewick Press"</f>
        <v>Candlewick Press</v>
      </c>
      <c r="H1444" s="2" t="str">
        <f>"2014"</f>
        <v>2014</v>
      </c>
      <c r="I1444" s="3" t="str">
        <f>""</f>
        <v/>
      </c>
    </row>
    <row r="1445" spans="1:9" x14ac:dyDescent="0.3">
      <c r="A1445" s="2">
        <v>1444</v>
      </c>
      <c r="B1445" s="4" t="s">
        <v>28</v>
      </c>
      <c r="C1445" s="3" t="str">
        <f>"TFC000000996"</f>
        <v>TFC000000996</v>
      </c>
      <c r="D1445" s="3" t="str">
        <f>"F800-20-1098-(AR 2.7)"</f>
        <v>F800-20-1098-(AR 2.7)</v>
      </c>
      <c r="E1445" s="3" t="str">
        <f>"Zen ties"</f>
        <v>Zen ties</v>
      </c>
      <c r="F1445" s="3" t="str">
        <f>"Jon J. Muth by"</f>
        <v>Jon J. Muth by</v>
      </c>
      <c r="G1445" s="3" t="str">
        <f>"Scholastic press"</f>
        <v>Scholastic press</v>
      </c>
      <c r="H1445" s="2" t="str">
        <f>"2008"</f>
        <v>2008</v>
      </c>
      <c r="I1445" s="3" t="str">
        <f>""</f>
        <v/>
      </c>
    </row>
    <row r="1446" spans="1:9" x14ac:dyDescent="0.3">
      <c r="A1446" s="2">
        <v>1445</v>
      </c>
      <c r="B1446" s="4" t="s">
        <v>28</v>
      </c>
      <c r="C1446" s="3" t="str">
        <f>"TFC000000997"</f>
        <v>TFC000000997</v>
      </c>
      <c r="D1446" s="3" t="str">
        <f>"F800-20-1099-(AR 2.7)"</f>
        <v>F800-20-1099-(AR 2.7)</v>
      </c>
      <c r="E1446" s="3" t="str">
        <f>"If you give a mouse a cookie"</f>
        <v>If you give a mouse a cookie</v>
      </c>
      <c r="F1446" s="3" t="str">
        <f>"written by Laura Joffe Numeroff ; illustreted by Felicia Bond"</f>
        <v>written by Laura Joffe Numeroff ; illustreted by Felicia Bond</v>
      </c>
      <c r="G1446" s="3" t="str">
        <f>"Laura Geringer Book"</f>
        <v>Laura Geringer Book</v>
      </c>
      <c r="H1446" s="2" t="str">
        <f>"2010"</f>
        <v>2010</v>
      </c>
      <c r="I1446" s="3" t="str">
        <f>""</f>
        <v/>
      </c>
    </row>
    <row r="1447" spans="1:9" x14ac:dyDescent="0.3">
      <c r="A1447" s="2">
        <v>1446</v>
      </c>
      <c r="B1447" s="4" t="s">
        <v>28</v>
      </c>
      <c r="C1447" s="3" t="str">
        <f>"TFC000001001"</f>
        <v>TFC000001001</v>
      </c>
      <c r="D1447" s="3" t="str">
        <f>"F800-20-1103-(AR 2.7)"</f>
        <v>F800-20-1103-(AR 2.7)</v>
      </c>
      <c r="E1447" s="3" t="str">
        <f>"(The)kissing hand"</f>
        <v>(The)kissing hand</v>
      </c>
      <c r="F1447" s="3" t="str">
        <f>"by Audrey Penn ; illustrations by Ruth E. Harper, Nancy M. Leak"</f>
        <v>by Audrey Penn ; illustrations by Ruth E. Harper, Nancy M. Leak</v>
      </c>
      <c r="G1447" s="3" t="str">
        <f>"Tanglewoo"</f>
        <v>Tanglewoo</v>
      </c>
      <c r="H1447" s="2" t="str">
        <f>"2006"</f>
        <v>2006</v>
      </c>
      <c r="I1447" s="3" t="str">
        <f>""</f>
        <v/>
      </c>
    </row>
    <row r="1448" spans="1:9" x14ac:dyDescent="0.3">
      <c r="A1448" s="2">
        <v>1447</v>
      </c>
      <c r="B1448" s="4" t="s">
        <v>28</v>
      </c>
      <c r="C1448" s="3" t="str">
        <f>"TFC000001002"</f>
        <v>TFC000001002</v>
      </c>
      <c r="D1448" s="3" t="str">
        <f>"F800-20-1104-(AR 2.7)"</f>
        <v>F800-20-1104-(AR 2.7)</v>
      </c>
      <c r="E1448" s="3" t="str">
        <f>"Dog man fetch-22. (AR2.7)"</f>
        <v>Dog man fetch-22. (AR2.7)</v>
      </c>
      <c r="F1448" s="3" t="str">
        <f>"written and illuatrated by Dav Pilkey"</f>
        <v>written and illuatrated by Dav Pilkey</v>
      </c>
      <c r="G1448" s="3" t="str">
        <f>"Graphix"</f>
        <v>Graphix</v>
      </c>
      <c r="H1448" s="2" t="str">
        <f>"2019"</f>
        <v>2019</v>
      </c>
      <c r="I1448" s="3" t="str">
        <f>""</f>
        <v/>
      </c>
    </row>
    <row r="1449" spans="1:9" x14ac:dyDescent="0.3">
      <c r="A1449" s="2">
        <v>1448</v>
      </c>
      <c r="B1449" s="4" t="s">
        <v>28</v>
      </c>
      <c r="C1449" s="3" t="str">
        <f>"TFC000001003"</f>
        <v>TFC000001003</v>
      </c>
      <c r="D1449" s="3" t="str">
        <f>"F800-20-1105-(AR 2.7)"</f>
        <v>F800-20-1105-(AR 2.7)</v>
      </c>
      <c r="E1449" s="3" t="str">
        <f>"(Stories of)giants"</f>
        <v>(Stories of)giants</v>
      </c>
      <c r="F1449" s="3" t="str">
        <f>"by Christopher Rawson ; adapted by Gill Harvey ; illustrated by Stephen Cartwright"</f>
        <v>by Christopher Rawson ; adapted by Gill Harvey ; illustrated by Stephen Cartwright</v>
      </c>
      <c r="G1449" s="3" t="str">
        <f>"Usborne"</f>
        <v>Usborne</v>
      </c>
      <c r="H1449" s="2" t="str">
        <f>"2007"</f>
        <v>2007</v>
      </c>
      <c r="I1449" s="3" t="str">
        <f>""</f>
        <v/>
      </c>
    </row>
    <row r="1450" spans="1:9" x14ac:dyDescent="0.3">
      <c r="A1450" s="2">
        <v>1449</v>
      </c>
      <c r="B1450" s="4" t="s">
        <v>28</v>
      </c>
      <c r="C1450" s="3" t="str">
        <f>"TFC000001004"</f>
        <v>TFC000001004</v>
      </c>
      <c r="D1450" s="3" t="str">
        <f>"F800-20-1106-(AR 2.7)"</f>
        <v>F800-20-1106-(AR 2.7)</v>
      </c>
      <c r="E1450" s="3" t="str">
        <f>"Thumbelina, wrestling champ : a graphic novel"</f>
        <v>Thumbelina, wrestling champ : a graphic novel</v>
      </c>
      <c r="F1450" s="3" t="str">
        <f>"by Alberto Rayo ; illustrated by Alex Lopez"</f>
        <v>by Alberto Rayo ; illustrated by Alex Lopez</v>
      </c>
      <c r="G1450" s="3" t="str">
        <f>"Stone Arch Books"</f>
        <v>Stone Arch Books</v>
      </c>
      <c r="H1450" s="2" t="str">
        <f>"2020"</f>
        <v>2020</v>
      </c>
      <c r="I1450" s="3" t="str">
        <f>""</f>
        <v/>
      </c>
    </row>
    <row r="1451" spans="1:9" x14ac:dyDescent="0.3">
      <c r="A1451" s="2">
        <v>1450</v>
      </c>
      <c r="B1451" s="4" t="s">
        <v>28</v>
      </c>
      <c r="C1451" s="3" t="str">
        <f>"TFC000001005"</f>
        <v>TFC000001005</v>
      </c>
      <c r="D1451" s="3" t="str">
        <f>"F800-20-1107-(AR 2.7)"</f>
        <v>F800-20-1107-(AR 2.7)</v>
      </c>
      <c r="E1451" s="3" t="str">
        <f>"Lewis and Clark : a prairie dog for the president"</f>
        <v>Lewis and Clark : a prairie dog for the president</v>
      </c>
      <c r="F1451" s="3" t="str">
        <f>"by Shirley Raye Redmond ; illustrated by John Manders"</f>
        <v>by Shirley Raye Redmond ; illustrated by John Manders</v>
      </c>
      <c r="G1451" s="3" t="str">
        <f>"Random House"</f>
        <v>Random House</v>
      </c>
      <c r="H1451" s="2" t="str">
        <f>"2003"</f>
        <v>2003</v>
      </c>
      <c r="I1451" s="3" t="str">
        <f>""</f>
        <v/>
      </c>
    </row>
    <row r="1452" spans="1:9" x14ac:dyDescent="0.3">
      <c r="A1452" s="2">
        <v>1451</v>
      </c>
      <c r="B1452" s="4" t="s">
        <v>28</v>
      </c>
      <c r="C1452" s="3" t="str">
        <f>"TFC000001006"</f>
        <v>TFC000001006</v>
      </c>
      <c r="D1452" s="3" t="str">
        <f>"F800-20-1108-(AR 2.7)"</f>
        <v>F800-20-1108-(AR 2.7)</v>
      </c>
      <c r="E1452" s="3" t="str">
        <f>"Pluto ets the call"</f>
        <v>Pluto ets the call</v>
      </c>
      <c r="F1452" s="3" t="str">
        <f>"Adam Rex ; illustrations by Laurie Keller"</f>
        <v>Adam Rex ; illustrations by Laurie Keller</v>
      </c>
      <c r="G1452" s="3" t="str">
        <f>"Beach Lane Books"</f>
        <v>Beach Lane Books</v>
      </c>
      <c r="H1452" s="2" t="str">
        <f>"2019"</f>
        <v>2019</v>
      </c>
      <c r="I1452" s="3" t="str">
        <f>""</f>
        <v/>
      </c>
    </row>
    <row r="1453" spans="1:9" x14ac:dyDescent="0.3">
      <c r="A1453" s="2">
        <v>1452</v>
      </c>
      <c r="B1453" s="4" t="s">
        <v>28</v>
      </c>
      <c r="C1453" s="3" t="str">
        <f>"TFC000001014"</f>
        <v>TFC000001014</v>
      </c>
      <c r="D1453" s="3" t="str">
        <f>"F800-20-1116-(AR 2.7)"</f>
        <v>F800-20-1116-(AR 2.7)</v>
      </c>
      <c r="E1453" s="3" t="str">
        <f>"Why pick on me?"</f>
        <v>Why pick on me?</v>
      </c>
      <c r="F1453" s="3" t="str">
        <f>"by Louis Sachar ; illustrated by Barbara Sullivan"</f>
        <v>by Louis Sachar ; illustrated by Barbara Sullivan</v>
      </c>
      <c r="G1453" s="3" t="str">
        <f>"Random House"</f>
        <v>Random House</v>
      </c>
      <c r="H1453" s="2" t="str">
        <f>"2015"</f>
        <v>2015</v>
      </c>
      <c r="I1453" s="3" t="str">
        <f>""</f>
        <v/>
      </c>
    </row>
    <row r="1454" spans="1:9" x14ac:dyDescent="0.3">
      <c r="A1454" s="2">
        <v>1453</v>
      </c>
      <c r="B1454" s="4" t="s">
        <v>28</v>
      </c>
      <c r="C1454" s="3" t="str">
        <f>"TFC000001015"</f>
        <v>TFC000001015</v>
      </c>
      <c r="D1454" s="3" t="str">
        <f>"F800-20-1117-(AR 2.7)"</f>
        <v>F800-20-1117-(AR 2.7)</v>
      </c>
      <c r="E1454" s="3" t="str">
        <f>"Almost time"</f>
        <v>Almost time</v>
      </c>
      <c r="F1454" s="3" t="str">
        <f>"Gary D. Schmidt, Elizabeth Stickney ; illustrated by G. Brian Karas"</f>
        <v>Gary D. Schmidt, Elizabeth Stickney ; illustrated by G. Brian Karas</v>
      </c>
      <c r="G1454" s="3" t="str">
        <f>"Clarion Books"</f>
        <v>Clarion Books</v>
      </c>
      <c r="H1454" s="2" t="str">
        <f>"2020"</f>
        <v>2020</v>
      </c>
      <c r="I1454" s="3" t="str">
        <f>""</f>
        <v/>
      </c>
    </row>
    <row r="1455" spans="1:9" x14ac:dyDescent="0.3">
      <c r="A1455" s="2">
        <v>1454</v>
      </c>
      <c r="B1455" s="4" t="s">
        <v>28</v>
      </c>
      <c r="C1455" s="3" t="str">
        <f>"TFC000001016"</f>
        <v>TFC000001016</v>
      </c>
      <c r="D1455" s="3" t="str">
        <f>"F800-20-1118-(AR 2.7)"</f>
        <v>F800-20-1118-(AR 2.7)</v>
      </c>
      <c r="E1455" s="3" t="str">
        <f>"Tricks and treats!"</f>
        <v>Tricks and treats!</v>
      </c>
      <c r="F1455" s="3" t="str">
        <f>"by Brandon T. Snider ; illustrated by Dario Brizuela"</f>
        <v>by Brandon T. Snider ; illustrated by Dario Brizuela</v>
      </c>
      <c r="G1455" s="3" t="str">
        <f>"Picture Window Books"</f>
        <v>Picture Window Books</v>
      </c>
      <c r="H1455" s="2" t="str">
        <f>"2019"</f>
        <v>2019</v>
      </c>
      <c r="I1455" s="3" t="str">
        <f>""</f>
        <v/>
      </c>
    </row>
    <row r="1456" spans="1:9" x14ac:dyDescent="0.3">
      <c r="A1456" s="2">
        <v>1455</v>
      </c>
      <c r="B1456" s="4" t="s">
        <v>28</v>
      </c>
      <c r="C1456" s="3" t="str">
        <f>"TFC000001017"</f>
        <v>TFC000001017</v>
      </c>
      <c r="D1456" s="3" t="str">
        <f>"F800-20-1119-(AR 2.7)"</f>
        <v>F800-20-1119-(AR 2.7)</v>
      </c>
      <c r="E1456" s="3" t="str">
        <f>"(The)terrible twos"</f>
        <v>(The)terrible twos</v>
      </c>
      <c r="F1456" s="3" t="str">
        <f>"by Brandon T. Snider ; illustrated by Omar Lozano"</f>
        <v>by Brandon T. Snider ; illustrated by Omar Lozano</v>
      </c>
      <c r="G1456" s="3" t="str">
        <f>"Picture Window Books"</f>
        <v>Picture Window Books</v>
      </c>
      <c r="H1456" s="2" t="str">
        <f>"2020"</f>
        <v>2020</v>
      </c>
      <c r="I1456" s="3" t="str">
        <f>""</f>
        <v/>
      </c>
    </row>
    <row r="1457" spans="1:9" x14ac:dyDescent="0.3">
      <c r="A1457" s="2">
        <v>1456</v>
      </c>
      <c r="B1457" s="4" t="s">
        <v>28</v>
      </c>
      <c r="C1457" s="3" t="str">
        <f>"TFC000001018"</f>
        <v>TFC000001018</v>
      </c>
      <c r="D1457" s="3" t="str">
        <f>"F800-20-1120-(AR 2.7)"</f>
        <v>F800-20-1120-(AR 2.7)</v>
      </c>
      <c r="E1457" s="3" t="str">
        <f>"Binky to the rescue"</f>
        <v>Binky to the rescue</v>
      </c>
      <c r="F1457" s="3" t="str">
        <f>"Ashley Spires"</f>
        <v>Ashley Spires</v>
      </c>
      <c r="G1457" s="3" t="str">
        <f>"Kids Can Press"</f>
        <v>Kids Can Press</v>
      </c>
      <c r="H1457" s="2" t="str">
        <f>"2010"</f>
        <v>2010</v>
      </c>
      <c r="I1457" s="3" t="str">
        <f>""</f>
        <v/>
      </c>
    </row>
    <row r="1458" spans="1:9" x14ac:dyDescent="0.3">
      <c r="A1458" s="2">
        <v>1457</v>
      </c>
      <c r="B1458" s="4" t="s">
        <v>28</v>
      </c>
      <c r="C1458" s="3" t="str">
        <f>"TFC000001019"</f>
        <v>TFC000001019</v>
      </c>
      <c r="D1458" s="3" t="str">
        <f>"F800-20-1121-(AR 2.7)"</f>
        <v>F800-20-1121-(AR 2.7)</v>
      </c>
      <c r="E1458" s="3" t="str">
        <f>"Born to ride : a story about bicycle face"</f>
        <v>Born to ride : a story about bicycle face</v>
      </c>
      <c r="F1458" s="3" t="str">
        <f>"story by Larissa Theule ; pictures by Kelsey Garrity-Riley"</f>
        <v>story by Larissa Theule ; pictures by Kelsey Garrity-Riley</v>
      </c>
      <c r="G1458" s="3" t="str">
        <f>"Abrams Books for Young Readers"</f>
        <v>Abrams Books for Young Readers</v>
      </c>
      <c r="H1458" s="2" t="str">
        <f>"2019"</f>
        <v>2019</v>
      </c>
      <c r="I1458" s="3" t="str">
        <f>""</f>
        <v/>
      </c>
    </row>
    <row r="1459" spans="1:9" x14ac:dyDescent="0.3">
      <c r="A1459" s="2">
        <v>1458</v>
      </c>
      <c r="B1459" s="4" t="s">
        <v>28</v>
      </c>
      <c r="C1459" s="3" t="str">
        <f>"TFC000001020"</f>
        <v>TFC000001020</v>
      </c>
      <c r="D1459" s="3" t="str">
        <f>"F800-20-1122-(AR 2.7)"</f>
        <v>F800-20-1122-(AR 2.7)</v>
      </c>
      <c r="E1459" s="3" t="str">
        <f>"Beans Baker's best shot"</f>
        <v>Beans Baker's best shot</v>
      </c>
      <c r="F1459" s="3" t="str">
        <f>"by Richard Torrey"</f>
        <v>by Richard Torrey</v>
      </c>
      <c r="G1459" s="3" t="str">
        <f>"Random House"</f>
        <v>Random House</v>
      </c>
      <c r="H1459" s="2" t="str">
        <f>"2006"</f>
        <v>2006</v>
      </c>
      <c r="I1459" s="3" t="str">
        <f>""</f>
        <v/>
      </c>
    </row>
    <row r="1460" spans="1:9" x14ac:dyDescent="0.3">
      <c r="A1460" s="2">
        <v>1459</v>
      </c>
      <c r="B1460" s="4" t="s">
        <v>28</v>
      </c>
      <c r="C1460" s="3" t="str">
        <f>"TFC000001021"</f>
        <v>TFC000001021</v>
      </c>
      <c r="D1460" s="3" t="str">
        <f>"F800-20-1123-(AR 2.7)"</f>
        <v>F800-20-1123-(AR 2.7)</v>
      </c>
      <c r="E1460" s="3" t="str">
        <f>"Porky and Bess"</f>
        <v>Porky and Bess</v>
      </c>
      <c r="F1460" s="3" t="str">
        <f>"by Ellen Weiss, Mel Friedman ; illustrated by Marsha Winborn"</f>
        <v>by Ellen Weiss, Mel Friedman ; illustrated by Marsha Winborn</v>
      </c>
      <c r="G1460" s="3" t="str">
        <f>"Random House"</f>
        <v>Random House</v>
      </c>
      <c r="H1460" s="2" t="str">
        <f>"2010"</f>
        <v>2010</v>
      </c>
      <c r="I1460" s="3" t="str">
        <f>""</f>
        <v/>
      </c>
    </row>
    <row r="1461" spans="1:9" x14ac:dyDescent="0.3">
      <c r="A1461" s="2">
        <v>1460</v>
      </c>
      <c r="B1461" s="4" t="s">
        <v>28</v>
      </c>
      <c r="C1461" s="3" t="str">
        <f>"TFC000001022"</f>
        <v>TFC000001022</v>
      </c>
      <c r="D1461" s="3" t="str">
        <f>"F800-20-1124-(AR 2.7)"</f>
        <v>F800-20-1124-(AR 2.7)</v>
      </c>
      <c r="E1461" s="3" t="str">
        <f>"Backpacks!"</f>
        <v>Backpacks!</v>
      </c>
      <c r="F1461" s="3" t="str">
        <f>"by Julianne Moore ; illustrated by LeUyen Pham"</f>
        <v>by Julianne Moore ; illustrated by LeUyen Pham</v>
      </c>
      <c r="G1461" s="3" t="str">
        <f>"Random House"</f>
        <v>Random House</v>
      </c>
      <c r="H1461" s="2" t="str">
        <f>"2015"</f>
        <v>2015</v>
      </c>
      <c r="I1461" s="3" t="str">
        <f>""</f>
        <v/>
      </c>
    </row>
    <row r="1462" spans="1:9" x14ac:dyDescent="0.3">
      <c r="A1462" s="2">
        <v>1461</v>
      </c>
      <c r="B1462" s="4" t="s">
        <v>28</v>
      </c>
      <c r="C1462" s="3" t="str">
        <f>"TFC000003796"</f>
        <v>TFC000003796</v>
      </c>
      <c r="D1462" s="3" t="str">
        <f>"F800-21-0342-(AR 2.7)"</f>
        <v>F800-21-0342-(AR 2.7)</v>
      </c>
      <c r="E1462" s="3" t="str">
        <f>"Froggy goes to Grandma's"</f>
        <v>Froggy goes to Grandma's</v>
      </c>
      <c r="F1462" s="3" t="str">
        <f>"by Jonathan London ; illustrated by Frank Remkiewicz"</f>
        <v>by Jonathan London ; illustrated by Frank Remkiewicz</v>
      </c>
      <c r="G1462" s="3" t="str">
        <f>"Puffin Books"</f>
        <v>Puffin Books</v>
      </c>
      <c r="H1462" s="2" t="str">
        <f>"2019"</f>
        <v>2019</v>
      </c>
      <c r="I1462" s="3" t="str">
        <f>""</f>
        <v/>
      </c>
    </row>
    <row r="1463" spans="1:9" x14ac:dyDescent="0.3">
      <c r="A1463" s="2">
        <v>1462</v>
      </c>
      <c r="B1463" s="4" t="s">
        <v>28</v>
      </c>
      <c r="C1463" s="3" t="str">
        <f>"TFC000003214"</f>
        <v>TFC000003214</v>
      </c>
      <c r="D1463" s="3" t="str">
        <f>"F800-21-0325-(AR 2.7)"</f>
        <v>F800-21-0325-(AR 2.7)</v>
      </c>
      <c r="E1463" s="3" t="str">
        <f>"Fish face"</f>
        <v>Fish face</v>
      </c>
      <c r="F1463" s="3" t="str">
        <f>"by Patricia Reilly Giff ; illustrated by Blanche Sims"</f>
        <v>by Patricia Reilly Giff ; illustrated by Blanche Sims</v>
      </c>
      <c r="G1463" s="3" t="str">
        <f>"A Yearling Book"</f>
        <v>A Yearling Book</v>
      </c>
      <c r="H1463" s="2" t="str">
        <f>"1984"</f>
        <v>1984</v>
      </c>
      <c r="I1463" s="3" t="str">
        <f>""</f>
        <v/>
      </c>
    </row>
    <row r="1464" spans="1:9" x14ac:dyDescent="0.3">
      <c r="A1464" s="2">
        <v>1463</v>
      </c>
      <c r="B1464" s="4" t="s">
        <v>28</v>
      </c>
      <c r="C1464" s="3" t="str">
        <f>"TFC000002848"</f>
        <v>TFC000002848</v>
      </c>
      <c r="D1464" s="3" t="str">
        <f>"F800-20-1125-(AR 2.7)"</f>
        <v>F800-20-1125-(AR 2.7)</v>
      </c>
      <c r="E1464" s="3" t="str">
        <f>"(The)hike"</f>
        <v>(The)hike</v>
      </c>
      <c r="F1464" s="3" t="str">
        <f>"Alison Farrell"</f>
        <v>Alison Farrell</v>
      </c>
      <c r="G1464" s="3" t="str">
        <f>"Chronicle Books"</f>
        <v>Chronicle Books</v>
      </c>
      <c r="H1464" s="2" t="str">
        <f>"2019"</f>
        <v>2019</v>
      </c>
      <c r="I1464" s="3" t="str">
        <f>""</f>
        <v/>
      </c>
    </row>
    <row r="1465" spans="1:9" x14ac:dyDescent="0.3">
      <c r="A1465" s="2">
        <v>1464</v>
      </c>
      <c r="B1465" s="4" t="s">
        <v>28</v>
      </c>
      <c r="C1465" s="3" t="str">
        <f>"TFC000002849"</f>
        <v>TFC000002849</v>
      </c>
      <c r="D1465" s="3" t="str">
        <f>"F800-20-1126-(AR 2.7)"</f>
        <v>F800-20-1126-(AR 2.7)</v>
      </c>
      <c r="E1465" s="3" t="str">
        <f>"(The)quest"</f>
        <v>(The)quest</v>
      </c>
      <c r="F1465" s="3" t="str">
        <f>"written by Roderick Hunt ; illustrated by Alex Brychta"</f>
        <v>written by Roderick Hunt ; illustrated by Alex Brychta</v>
      </c>
      <c r="G1465" s="3" t="str">
        <f>"Oxford University Press"</f>
        <v>Oxford University Press</v>
      </c>
      <c r="H1465" s="2" t="str">
        <f>"2011"</f>
        <v>2011</v>
      </c>
      <c r="I1465" s="3" t="str">
        <f>""</f>
        <v/>
      </c>
    </row>
    <row r="1466" spans="1:9" x14ac:dyDescent="0.3">
      <c r="A1466" s="2">
        <v>1465</v>
      </c>
      <c r="B1466" s="4" t="s">
        <v>28</v>
      </c>
      <c r="C1466" s="3" t="str">
        <f>"TFC000002850"</f>
        <v>TFC000002850</v>
      </c>
      <c r="D1466" s="3" t="str">
        <f>"F400-20-1035-(AR 2.7)"</f>
        <v>F400-20-1035-(AR 2.7)</v>
      </c>
      <c r="E1466" s="3" t="str">
        <f>"Plants that eat animals"</f>
        <v>Plants that eat animals</v>
      </c>
      <c r="F1466" s="3" t="str">
        <f>"by Allan Fowler"</f>
        <v>by Allan Fowler</v>
      </c>
      <c r="G1466" s="3" t="str">
        <f>"Children's Press"</f>
        <v>Children's Press</v>
      </c>
      <c r="H1466" s="2" t="str">
        <f>"2001"</f>
        <v>2001</v>
      </c>
      <c r="I1466" s="3" t="str">
        <f>""</f>
        <v/>
      </c>
    </row>
    <row r="1467" spans="1:9" x14ac:dyDescent="0.3">
      <c r="A1467" s="2">
        <v>1466</v>
      </c>
      <c r="B1467" s="4" t="s">
        <v>28</v>
      </c>
      <c r="C1467" s="3" t="str">
        <f>"TFC000002851"</f>
        <v>TFC000002851</v>
      </c>
      <c r="D1467" s="3" t="str">
        <f>"F800-20-1127-(AR 2.7)"</f>
        <v>F800-20-1127-(AR 2.7)</v>
      </c>
      <c r="E1467" s="3" t="str">
        <f>"Poppleton has fun"</f>
        <v>Poppleton has fun</v>
      </c>
      <c r="F1467" s="3" t="str">
        <f>"Cynthia Rylant ; illustrated by Mark Teague"</f>
        <v>Cynthia Rylant ; illustrated by Mark Teague</v>
      </c>
      <c r="G1467" s="3" t="str">
        <f>"Scholastic"</f>
        <v>Scholastic</v>
      </c>
      <c r="H1467" s="2" t="str">
        <f>"2000"</f>
        <v>2000</v>
      </c>
      <c r="I1467" s="3" t="str">
        <f>""</f>
        <v/>
      </c>
    </row>
    <row r="1468" spans="1:9" x14ac:dyDescent="0.3">
      <c r="A1468" s="2">
        <v>1467</v>
      </c>
      <c r="B1468" s="4" t="s">
        <v>28</v>
      </c>
      <c r="C1468" s="3" t="str">
        <f>"TFC000002852"</f>
        <v>TFC000002852</v>
      </c>
      <c r="D1468" s="3" t="str">
        <f>"F900-20-1134-(AR 2.7)"</f>
        <v>F900-20-1134-(AR 2.7)</v>
      </c>
      <c r="E1468" s="3" t="str">
        <f>"Sally Ride"</f>
        <v>Sally Ride</v>
      </c>
      <c r="F1468" s="3" t="str">
        <f>"by Catherine Nichols"</f>
        <v>by Catherine Nichols</v>
      </c>
      <c r="G1468" s="3" t="str">
        <f>"Scholastic"</f>
        <v>Scholastic</v>
      </c>
      <c r="H1468" s="2" t="str">
        <f>"2005"</f>
        <v>2005</v>
      </c>
      <c r="I1468" s="3" t="str">
        <f>""</f>
        <v/>
      </c>
    </row>
    <row r="1469" spans="1:9" x14ac:dyDescent="0.3">
      <c r="A1469" s="2">
        <v>1468</v>
      </c>
      <c r="B1469" s="4" t="s">
        <v>28</v>
      </c>
      <c r="C1469" s="3" t="str">
        <f>"TFC000002946"</f>
        <v>TFC000002946</v>
      </c>
      <c r="D1469" s="3" t="str">
        <f>"F800-20-1128-(AR 2.7)"</f>
        <v>F800-20-1128-(AR 2.7)</v>
      </c>
      <c r="E1469" s="3" t="str">
        <f>"Bedtime for frances"</f>
        <v>Bedtime for frances</v>
      </c>
      <c r="F1469" s="3" t="str">
        <f>"by Russell Hoban ; pictures by Garth Williams"</f>
        <v>by Russell Hoban ; pictures by Garth Williams</v>
      </c>
      <c r="G1469" s="3" t="str">
        <f>"Scholastic"</f>
        <v>Scholastic</v>
      </c>
      <c r="H1469" s="2" t="str">
        <f>"1996"</f>
        <v>1996</v>
      </c>
      <c r="I1469" s="3" t="str">
        <f>""</f>
        <v/>
      </c>
    </row>
    <row r="1470" spans="1:9" x14ac:dyDescent="0.3">
      <c r="A1470" s="2">
        <v>1469</v>
      </c>
      <c r="B1470" s="4" t="s">
        <v>28</v>
      </c>
      <c r="C1470" s="3" t="str">
        <f>"TFC000002947"</f>
        <v>TFC000002947</v>
      </c>
      <c r="D1470" s="3" t="str">
        <f>"F800-20-1129-(AR 2.7)"</f>
        <v>F800-20-1129-(AR 2.7)</v>
      </c>
      <c r="E1470" s="3" t="str">
        <f>"I hate English!"</f>
        <v>I hate English!</v>
      </c>
      <c r="F1470" s="3" t="str">
        <f>"by Ellen Levine ; illustrated by Steve Bjo?rkman"</f>
        <v>by Ellen Levine ; illustrated by Steve Bjo?rkman</v>
      </c>
      <c r="G1470" s="3" t="str">
        <f>"Scholastic"</f>
        <v>Scholastic</v>
      </c>
      <c r="H1470" s="2" t="str">
        <f>"1989"</f>
        <v>1989</v>
      </c>
      <c r="I1470" s="3" t="str">
        <f>""</f>
        <v/>
      </c>
    </row>
    <row r="1471" spans="1:9" x14ac:dyDescent="0.3">
      <c r="A1471" s="2">
        <v>1470</v>
      </c>
      <c r="B1471" s="4" t="s">
        <v>28</v>
      </c>
      <c r="C1471" s="3" t="str">
        <f>"TFC000002948"</f>
        <v>TFC000002948</v>
      </c>
      <c r="D1471" s="3" t="str">
        <f>"F800-20-1130-(AR 2.7)"</f>
        <v>F800-20-1130-(AR 2.7)</v>
      </c>
      <c r="E1471" s="3" t="str">
        <f>"Mole music"</f>
        <v>Mole music</v>
      </c>
      <c r="F1471" s="3" t="str">
        <f>"written and illustrated by David McPhail"</f>
        <v>written and illustrated by David McPhail</v>
      </c>
      <c r="G1471" s="3" t="str">
        <f>"Henry Holt and Company"</f>
        <v>Henry Holt and Company</v>
      </c>
      <c r="H1471" s="2" t="str">
        <f>"2012"</f>
        <v>2012</v>
      </c>
      <c r="I1471" s="3" t="str">
        <f>""</f>
        <v/>
      </c>
    </row>
    <row r="1472" spans="1:9" x14ac:dyDescent="0.3">
      <c r="A1472" s="2">
        <v>1471</v>
      </c>
      <c r="B1472" s="4" t="s">
        <v>28</v>
      </c>
      <c r="C1472" s="3" t="str">
        <f>"TFC000002999"</f>
        <v>TFC000002999</v>
      </c>
      <c r="D1472" s="3" t="str">
        <f>"F800-20-1131-(AR 2.7)"</f>
        <v>F800-20-1131-(AR 2.7)</v>
      </c>
      <c r="E1472" s="3" t="str">
        <f>"Field trip trouble"</f>
        <v>Field trip trouble</v>
      </c>
      <c r="F1472" s="3" t="str">
        <f>"by Molly Beth Griffin ; illustrated by Mike Deas"</f>
        <v>by Molly Beth Griffin ; illustrated by Mike Deas</v>
      </c>
      <c r="G1472" s="3" t="str">
        <f>"Picture Window Books"</f>
        <v>Picture Window Books</v>
      </c>
      <c r="H1472" s="2" t="str">
        <f>"2020"</f>
        <v>2020</v>
      </c>
      <c r="I1472" s="3" t="str">
        <f>""</f>
        <v/>
      </c>
    </row>
    <row r="1473" spans="1:9" x14ac:dyDescent="0.3">
      <c r="A1473" s="2">
        <v>1472</v>
      </c>
      <c r="B1473" s="4" t="s">
        <v>28</v>
      </c>
      <c r="C1473" s="3" t="str">
        <f>"TFC000003001"</f>
        <v>TFC000003001</v>
      </c>
      <c r="D1473" s="3" t="str">
        <f>"F800-20-1132-(AR 2.7)"</f>
        <v>F800-20-1132-(AR 2.7)</v>
      </c>
      <c r="E1473" s="3" t="str">
        <f>"Test stress"</f>
        <v>Test stress</v>
      </c>
      <c r="F1473" s="3" t="str">
        <f>"by Molly Beth Griffin ; illustrated by Mike Deas"</f>
        <v>by Molly Beth Griffin ; illustrated by Mike Deas</v>
      </c>
      <c r="G1473" s="3" t="str">
        <f>"Picture Window Books"</f>
        <v>Picture Window Books</v>
      </c>
      <c r="H1473" s="2" t="str">
        <f>"2020"</f>
        <v>2020</v>
      </c>
      <c r="I1473" s="3" t="str">
        <f>""</f>
        <v/>
      </c>
    </row>
    <row r="1474" spans="1:9" x14ac:dyDescent="0.3">
      <c r="A1474" s="2">
        <v>1473</v>
      </c>
      <c r="B1474" s="4" t="s">
        <v>28</v>
      </c>
      <c r="C1474" s="3" t="str">
        <f>"TFC000003050"</f>
        <v>TFC000003050</v>
      </c>
      <c r="D1474" s="3" t="str">
        <f>"F800-20-1133-(AR 2.7)"</f>
        <v>F800-20-1133-(AR 2.7)</v>
      </c>
      <c r="E1474" s="3" t="str">
        <f>"(The)other side"</f>
        <v>(The)other side</v>
      </c>
      <c r="F1474" s="3" t="str">
        <f>"by Jacqueline Woodson ; illustrations by Earl B. Lewis"</f>
        <v>by Jacqueline Woodson ; illustrations by Earl B. Lewis</v>
      </c>
      <c r="G1474" s="3" t="str">
        <f>"Putnam"</f>
        <v>Putnam</v>
      </c>
      <c r="H1474" s="2" t="str">
        <f>"2001"</f>
        <v>2001</v>
      </c>
      <c r="I1474" s="3" t="str">
        <f>""</f>
        <v/>
      </c>
    </row>
    <row r="1475" spans="1:9" x14ac:dyDescent="0.3">
      <c r="A1475" s="2">
        <v>1474</v>
      </c>
      <c r="B1475" s="4" t="s">
        <v>28</v>
      </c>
      <c r="C1475" s="3" t="str">
        <f>"TFC000003213"</f>
        <v>TFC000003213</v>
      </c>
      <c r="D1475" s="3" t="str">
        <f>"F800-21-0324-(AR 2.7)"</f>
        <v>F800-21-0324-(AR 2.7)</v>
      </c>
      <c r="E1475" s="3" t="str">
        <f>"My wobbly tooth must not ever never fall out"</f>
        <v>My wobbly tooth must not ever never fall out</v>
      </c>
      <c r="F1475" s="3" t="str">
        <f>"by Lauren Child"</f>
        <v>by Lauren Child</v>
      </c>
      <c r="G1475" s="3" t="str">
        <f>"Grosset &amp; Dunlap"</f>
        <v>Grosset &amp; Dunlap</v>
      </c>
      <c r="H1475" s="2" t="str">
        <f>"2006"</f>
        <v>2006</v>
      </c>
      <c r="I1475" s="3" t="str">
        <f>""</f>
        <v/>
      </c>
    </row>
    <row r="1476" spans="1:9" x14ac:dyDescent="0.3">
      <c r="A1476" s="2">
        <v>1475</v>
      </c>
      <c r="B1476" s="4" t="s">
        <v>28</v>
      </c>
      <c r="C1476" s="3" t="str">
        <f>"TFC000003216"</f>
        <v>TFC000003216</v>
      </c>
      <c r="D1476" s="3" t="str">
        <f>"F800-21-0326-(AR 2.7)"</f>
        <v>F800-21-0326-(AR 2.7)</v>
      </c>
      <c r="E1476" s="3" t="str">
        <f>"When I am old with you"</f>
        <v>When I am old with you</v>
      </c>
      <c r="F1476" s="3" t="str">
        <f>"story by Angela Johnson ; pictures by David Soman"</f>
        <v>story by Angela Johnson ; pictures by David Soman</v>
      </c>
      <c r="G1476" s="3" t="str">
        <f>"Orchard Books"</f>
        <v>Orchard Books</v>
      </c>
      <c r="H1476" s="2" t="str">
        <f>"1993"</f>
        <v>1993</v>
      </c>
      <c r="I1476" s="3" t="str">
        <f>""</f>
        <v/>
      </c>
    </row>
    <row r="1477" spans="1:9" x14ac:dyDescent="0.3">
      <c r="A1477" s="2">
        <v>1476</v>
      </c>
      <c r="B1477" s="4" t="s">
        <v>28</v>
      </c>
      <c r="C1477" s="3" t="str">
        <f>"TFC000003217"</f>
        <v>TFC000003217</v>
      </c>
      <c r="D1477" s="3" t="str">
        <f>"F800-21-0327-(AR 2.7)"</f>
        <v>F800-21-0327-(AR 2.7)</v>
      </c>
      <c r="E1477" s="3" t="str">
        <f>"Tomas and the library lady"</f>
        <v>Tomas and the library lady</v>
      </c>
      <c r="F1477" s="3" t="str">
        <f>"by Pat Mora ; illustrated by Raul Colon"</f>
        <v>by Pat Mora ; illustrated by Raul Colon</v>
      </c>
      <c r="G1477" s="3" t="str">
        <f>"Dragonfly Books"</f>
        <v>Dragonfly Books</v>
      </c>
      <c r="H1477" s="2" t="str">
        <f>"1997"</f>
        <v>1997</v>
      </c>
      <c r="I1477" s="3" t="str">
        <f>""</f>
        <v/>
      </c>
    </row>
    <row r="1478" spans="1:9" x14ac:dyDescent="0.3">
      <c r="A1478" s="2">
        <v>1477</v>
      </c>
      <c r="B1478" s="4" t="s">
        <v>28</v>
      </c>
      <c r="C1478" s="3" t="str">
        <f>"TFC000003225"</f>
        <v>TFC000003225</v>
      </c>
      <c r="D1478" s="3" t="str">
        <f>"F800-21-0328-(AR 2.7)"</f>
        <v>F800-21-0328-(AR 2.7)</v>
      </c>
      <c r="E1478" s="3" t="str">
        <f>"My wobbly tooth must not ever never fall out"</f>
        <v>My wobbly tooth must not ever never fall out</v>
      </c>
      <c r="F1478" s="3" t="str">
        <f>"by Lauren Child ; text based on the script written by Samantha Hill, illustrations from the TV animation produced by Tiger Aspect"</f>
        <v>by Lauren Child ; text based on the script written by Samantha Hill, illustrations from the TV animation produced by Tiger Aspect</v>
      </c>
      <c r="G1478" s="3" t="str">
        <f>"Grosset &amp; Dunlap"</f>
        <v>Grosset &amp; Dunlap</v>
      </c>
      <c r="H1478" s="2" t="str">
        <f>"2006"</f>
        <v>2006</v>
      </c>
      <c r="I1478" s="3" t="str">
        <f>""</f>
        <v/>
      </c>
    </row>
    <row r="1479" spans="1:9" x14ac:dyDescent="0.3">
      <c r="A1479" s="2">
        <v>1478</v>
      </c>
      <c r="B1479" s="4" t="s">
        <v>28</v>
      </c>
      <c r="C1479" s="3" t="str">
        <f>"TFC000003266"</f>
        <v>TFC000003266</v>
      </c>
      <c r="D1479" s="3" t="str">
        <f>"F800-21-0329-(AR 2.7)"</f>
        <v>F800-21-0329-(AR 2.7)</v>
      </c>
      <c r="E1479" s="3" t="str">
        <f>"Lazy lions, lucky lambs"</f>
        <v>Lazy lions, lucky lambs</v>
      </c>
      <c r="F1479" s="3" t="str">
        <f>"by Patricia Reilly Giff ; illustrated by Blanche Sims"</f>
        <v>by Patricia Reilly Giff ; illustrated by Blanche Sims</v>
      </c>
      <c r="G1479" s="3" t="str">
        <f>"A Yearling Book"</f>
        <v>A Yearling Book</v>
      </c>
      <c r="H1479" s="2" t="str">
        <f>"1985"</f>
        <v>1985</v>
      </c>
      <c r="I1479" s="3" t="str">
        <f>""</f>
        <v/>
      </c>
    </row>
    <row r="1480" spans="1:9" x14ac:dyDescent="0.3">
      <c r="A1480" s="2">
        <v>1479</v>
      </c>
      <c r="B1480" s="4" t="s">
        <v>28</v>
      </c>
      <c r="C1480" s="3" t="str">
        <f>"TFC000003270"</f>
        <v>TFC000003270</v>
      </c>
      <c r="D1480" s="3" t="str">
        <f>"F800-21-0330-(AR 2.7)"</f>
        <v>F800-21-0330-(AR 2.7)</v>
      </c>
      <c r="E1480" s="3" t="str">
        <f>"Junie B. Jones is (almost) a flower girl"</f>
        <v>Junie B. Jones is (almost) a flower girl</v>
      </c>
      <c r="F1480" s="3" t="str">
        <f>"written by Barbara Park ; illustrated by Denise Brunkus"</f>
        <v>written by Barbara Park ; illustrated by Denise Brunkus</v>
      </c>
      <c r="G1480" s="3" t="str">
        <f>"Random House"</f>
        <v>Random House</v>
      </c>
      <c r="H1480" s="2" t="str">
        <f>"2004"</f>
        <v>2004</v>
      </c>
      <c r="I1480" s="3" t="str">
        <f>""</f>
        <v/>
      </c>
    </row>
    <row r="1481" spans="1:9" x14ac:dyDescent="0.3">
      <c r="A1481" s="2">
        <v>1480</v>
      </c>
      <c r="B1481" s="4" t="s">
        <v>28</v>
      </c>
      <c r="C1481" s="3" t="str">
        <f>"TFC000003276"</f>
        <v>TFC000003276</v>
      </c>
      <c r="D1481" s="3" t="str">
        <f>"F800-21-0331-(AR 2.7)"</f>
        <v>F800-21-0331-(AR 2.7)</v>
      </c>
      <c r="E1481" s="3" t="str">
        <f>"Junie B. Jones and the yucky blucky fruitcake"</f>
        <v>Junie B. Jones and the yucky blucky fruitcake</v>
      </c>
      <c r="F1481" s="3" t="str">
        <f>"written by Barbara Park ; illustrated by Denise Brunkus"</f>
        <v>written by Barbara Park ; illustrated by Denise Brunkus</v>
      </c>
      <c r="G1481" s="3" t="str">
        <f>"Random House"</f>
        <v>Random House</v>
      </c>
      <c r="H1481" s="2" t="str">
        <f>"1995"</f>
        <v>1995</v>
      </c>
      <c r="I1481" s="3" t="str">
        <f>""</f>
        <v/>
      </c>
    </row>
    <row r="1482" spans="1:9" x14ac:dyDescent="0.3">
      <c r="A1482" s="2">
        <v>1481</v>
      </c>
      <c r="B1482" s="4" t="s">
        <v>28</v>
      </c>
      <c r="C1482" s="3" t="str">
        <f>"TFC000003280"</f>
        <v>TFC000003280</v>
      </c>
      <c r="D1482" s="3" t="str">
        <f>"F800-21-0332-(AR 2.7)"</f>
        <v>F800-21-0332-(AR 2.7)</v>
      </c>
      <c r="E1482" s="3" t="str">
        <f>"Night of the ninjas"</f>
        <v>Night of the ninjas</v>
      </c>
      <c r="F1482" s="3" t="str">
        <f>"by Mary Pope Osborne ; illustrated by Sal Murdocca"</f>
        <v>by Mary Pope Osborne ; illustrated by Sal Murdocca</v>
      </c>
      <c r="G1482" s="3" t="str">
        <f>"Random House"</f>
        <v>Random House</v>
      </c>
      <c r="H1482" s="2" t="str">
        <f>"1995"</f>
        <v>1995</v>
      </c>
      <c r="I1482" s="3" t="str">
        <f>""</f>
        <v/>
      </c>
    </row>
    <row r="1483" spans="1:9" x14ac:dyDescent="0.3">
      <c r="A1483" s="2">
        <v>1482</v>
      </c>
      <c r="B1483" s="4" t="s">
        <v>28</v>
      </c>
      <c r="C1483" s="3" t="str">
        <f>"TFC000003325"</f>
        <v>TFC000003325</v>
      </c>
      <c r="D1483" s="3" t="str">
        <f>"F800-21-0333-(AR 2.7)"</f>
        <v>F800-21-0333-(AR 2.7)</v>
      </c>
      <c r="E1483" s="3" t="str">
        <f>"After squidnight"</f>
        <v>After squidnight</v>
      </c>
      <c r="F1483" s="3" t="str">
        <f>"by Jonathan E. Fenske"</f>
        <v>by Jonathan E. Fenske</v>
      </c>
      <c r="G1483" s="3" t="str">
        <f>"Penguin Young Readers Group"</f>
        <v>Penguin Young Readers Group</v>
      </c>
      <c r="H1483" s="2" t="str">
        <f>"2020"</f>
        <v>2020</v>
      </c>
      <c r="I1483" s="3" t="str">
        <f>""</f>
        <v/>
      </c>
    </row>
    <row r="1484" spans="1:9" x14ac:dyDescent="0.3">
      <c r="A1484" s="2">
        <v>1483</v>
      </c>
      <c r="B1484" s="4" t="s">
        <v>28</v>
      </c>
      <c r="C1484" s="3" t="str">
        <f>"TFC000003326"</f>
        <v>TFC000003326</v>
      </c>
      <c r="D1484" s="3" t="str">
        <f>"F400-21-0323-(AR 2.7)"</f>
        <v>F400-21-0323-(AR 2.7)</v>
      </c>
      <c r="E1484" s="3" t="str">
        <f>"Water"</f>
        <v>Water</v>
      </c>
      <c r="F1484" s="3" t="str">
        <f>"by Keli Sipperley"</f>
        <v>by Keli Sipperley</v>
      </c>
      <c r="G1484" s="3" t="str">
        <f>"Capstone Press"</f>
        <v>Capstone Press</v>
      </c>
      <c r="H1484" s="2" t="str">
        <f>"2021"</f>
        <v>2021</v>
      </c>
      <c r="I1484" s="3" t="str">
        <f>""</f>
        <v/>
      </c>
    </row>
    <row r="1485" spans="1:9" x14ac:dyDescent="0.3">
      <c r="A1485" s="2">
        <v>1484</v>
      </c>
      <c r="B1485" s="4" t="s">
        <v>28</v>
      </c>
      <c r="C1485" s="3" t="str">
        <f>"TFC000003424"</f>
        <v>TFC000003424</v>
      </c>
      <c r="D1485" s="3" t="str">
        <f>"F800-21-0334-(AR 2.7)"</f>
        <v>F800-21-0334-(AR 2.7)</v>
      </c>
      <c r="E1485" s="3" t="str">
        <f>"Junie B. Jones loves handsome Warren"</f>
        <v>Junie B. Jones loves handsome Warren</v>
      </c>
      <c r="F1485" s="3" t="str">
        <f>"written by Barbara Park ; Illustrated by Denise Brunkus"</f>
        <v>written by Barbara Park ; Illustrated by Denise Brunkus</v>
      </c>
      <c r="G1485" s="3" t="str">
        <f>"Random House"</f>
        <v>Random House</v>
      </c>
      <c r="H1485" s="2" t="str">
        <f>"1996"</f>
        <v>1996</v>
      </c>
      <c r="I1485" s="3" t="str">
        <f>""</f>
        <v/>
      </c>
    </row>
    <row r="1486" spans="1:9" x14ac:dyDescent="0.3">
      <c r="A1486" s="2">
        <v>1485</v>
      </c>
      <c r="B1486" s="4" t="s">
        <v>28</v>
      </c>
      <c r="C1486" s="3" t="str">
        <f>"TFC000003451"</f>
        <v>TFC000003451</v>
      </c>
      <c r="D1486" s="3" t="str">
        <f>"F900-21-0353-(AR 2.7)"</f>
        <v>F900-21-0353-(AR 2.7)</v>
      </c>
      <c r="E1486" s="3" t="str">
        <f>"When everyone wore a hat"</f>
        <v>When everyone wore a hat</v>
      </c>
      <c r="F1486" s="3" t="str">
        <f>"by Willianm Steig"</f>
        <v>by Willianm Steig</v>
      </c>
      <c r="G1486" s="3" t="str">
        <f>"HarperTrophy"</f>
        <v>HarperTrophy</v>
      </c>
      <c r="H1486" s="2" t="str">
        <f>"2003"</f>
        <v>2003</v>
      </c>
      <c r="I1486" s="3" t="str">
        <f>""</f>
        <v/>
      </c>
    </row>
    <row r="1487" spans="1:9" x14ac:dyDescent="0.3">
      <c r="A1487" s="2">
        <v>1486</v>
      </c>
      <c r="B1487" s="4" t="s">
        <v>28</v>
      </c>
      <c r="C1487" s="3" t="str">
        <f>"TFC000003456"</f>
        <v>TFC000003456</v>
      </c>
      <c r="D1487" s="3" t="str">
        <f>"F800-21-0335-(AR 2.7)"</f>
        <v>F800-21-0335-(AR 2.7)</v>
      </c>
      <c r="E1487" s="3" t="str">
        <f>"(The)seven Treasure Hunts"</f>
        <v>(The)seven Treasure Hunts</v>
      </c>
      <c r="F1487" s="3" t="str">
        <f>"by Betsy Cromer Byars ; illustrated by Jennifer Barrett"</f>
        <v>by Betsy Cromer Byars ; illustrated by Jennifer Barrett</v>
      </c>
      <c r="G1487" s="3" t="str">
        <f>"HarperTrophy"</f>
        <v>HarperTrophy</v>
      </c>
      <c r="H1487" s="2" t="str">
        <f>"1991"</f>
        <v>1991</v>
      </c>
      <c r="I1487" s="3" t="str">
        <f>""</f>
        <v/>
      </c>
    </row>
    <row r="1488" spans="1:9" x14ac:dyDescent="0.3">
      <c r="A1488" s="2">
        <v>1487</v>
      </c>
      <c r="B1488" s="4" t="s">
        <v>28</v>
      </c>
      <c r="C1488" s="3" t="str">
        <f>"TFC000003543"</f>
        <v>TFC000003543</v>
      </c>
      <c r="D1488" s="3" t="str">
        <f>"F800-21-0336-(AR 2.7)"</f>
        <v>F800-21-0336-(AR 2.7)</v>
      </c>
      <c r="E1488" s="3" t="str">
        <f>"December secrets"</f>
        <v>December secrets</v>
      </c>
      <c r="F1488" s="3" t="str">
        <f>"by Patricia Reilly Giff ; illustrated by Blanche Sims"</f>
        <v>by Patricia Reilly Giff ; illustrated by Blanche Sims</v>
      </c>
      <c r="G1488" s="3" t="str">
        <f>"A Yearling Book"</f>
        <v>A Yearling Book</v>
      </c>
      <c r="H1488" s="2" t="str">
        <f>"1997"</f>
        <v>1997</v>
      </c>
      <c r="I1488" s="3" t="str">
        <f>""</f>
        <v/>
      </c>
    </row>
    <row r="1489" spans="1:9" x14ac:dyDescent="0.3">
      <c r="A1489" s="2">
        <v>1488</v>
      </c>
      <c r="B1489" s="4" t="s">
        <v>28</v>
      </c>
      <c r="C1489" s="3" t="str">
        <f>"TFC000003548"</f>
        <v>TFC000003548</v>
      </c>
      <c r="D1489" s="3" t="str">
        <f>"F300-21-0322-(AR 2.7)"</f>
        <v>F300-21-0322-(AR 2.7)</v>
      </c>
      <c r="E1489" s="3" t="str">
        <f>"Setting boundaries : learning about healthy relationships"</f>
        <v>Setting boundaries : learning about healthy relationships</v>
      </c>
      <c r="F1489" s="3" t="str">
        <f>"by Alyssa Krekelberg"</f>
        <v>by Alyssa Krekelberg</v>
      </c>
      <c r="G1489" s="3" t="str">
        <f>"The Child's World"</f>
        <v>The Child's World</v>
      </c>
      <c r="H1489" s="2" t="str">
        <f>"2021"</f>
        <v>2021</v>
      </c>
      <c r="I1489" s="3" t="str">
        <f>""</f>
        <v/>
      </c>
    </row>
    <row r="1490" spans="1:9" x14ac:dyDescent="0.3">
      <c r="A1490" s="2">
        <v>1489</v>
      </c>
      <c r="B1490" s="4" t="s">
        <v>28</v>
      </c>
      <c r="C1490" s="3" t="str">
        <f>"TFC000003609"</f>
        <v>TFC000003609</v>
      </c>
      <c r="D1490" s="3" t="str">
        <f>"F800-21-0337-(AR 2.7)"</f>
        <v>F800-21-0337-(AR 2.7)</v>
      </c>
      <c r="E1490" s="3" t="str">
        <f>"Sleeping Beauty, magic master : a graphic novel"</f>
        <v>Sleeping Beauty, magic master : a graphic novel</v>
      </c>
      <c r="F1490" s="3" t="str">
        <f>"by Stephanie True Peters ; illustrated by Alex Lopez"</f>
        <v>by Stephanie True Peters ; illustrated by Alex Lopez</v>
      </c>
      <c r="G1490" s="3" t="str">
        <f>"Stone Arch Books, a Capstone imprint"</f>
        <v>Stone Arch Books, a Capstone imprint</v>
      </c>
      <c r="H1490" s="2" t="str">
        <f>"2021"</f>
        <v>2021</v>
      </c>
      <c r="I1490" s="3" t="str">
        <f>""</f>
        <v/>
      </c>
    </row>
    <row r="1491" spans="1:9" x14ac:dyDescent="0.3">
      <c r="A1491" s="2">
        <v>1490</v>
      </c>
      <c r="B1491" s="4" t="s">
        <v>28</v>
      </c>
      <c r="C1491" s="3" t="str">
        <f>"TFC000003610"</f>
        <v>TFC000003610</v>
      </c>
      <c r="D1491" s="3" t="str">
        <f>"F800-21-0338-(AR 2.7)"</f>
        <v>F800-21-0338-(AR 2.7)</v>
      </c>
      <c r="E1491" s="3" t="str">
        <f>"Thumbelina, wrestling champ : a graphic novel"</f>
        <v>Thumbelina, wrestling champ : a graphic novel</v>
      </c>
      <c r="F1491" s="3" t="str">
        <f>"by Alberto Rayo ; illustrated by Alex Lopez"</f>
        <v>by Alberto Rayo ; illustrated by Alex Lopez</v>
      </c>
      <c r="G1491" s="3" t="str">
        <f>"Raintree"</f>
        <v>Raintree</v>
      </c>
      <c r="H1491" s="2" t="str">
        <f>"2020"</f>
        <v>2020</v>
      </c>
      <c r="I1491" s="3" t="str">
        <f>""</f>
        <v/>
      </c>
    </row>
    <row r="1492" spans="1:9" x14ac:dyDescent="0.3">
      <c r="A1492" s="2">
        <v>1491</v>
      </c>
      <c r="B1492" s="4" t="s">
        <v>28</v>
      </c>
      <c r="C1492" s="3" t="str">
        <f>"TFC000003749"</f>
        <v>TFC000003749</v>
      </c>
      <c r="D1492" s="3" t="str">
        <f>"F800-21-0339-(AR 2.7)"</f>
        <v>F800-21-0339-(AR 2.7)</v>
      </c>
      <c r="E1492" s="3" t="str">
        <f>"(The)thanksgiving day from the black lagoon"</f>
        <v>(The)thanksgiving day from the black lagoon</v>
      </c>
      <c r="F1492" s="3" t="str">
        <f>"by Mike Thaler ; illustraed by Jared lee"</f>
        <v>by Mike Thaler ; illustraed by Jared lee</v>
      </c>
      <c r="G1492" s="3" t="str">
        <f>"Scholastic"</f>
        <v>Scholastic</v>
      </c>
      <c r="H1492" s="2" t="str">
        <f>"2009"</f>
        <v>2009</v>
      </c>
      <c r="I1492" s="3" t="str">
        <f>""</f>
        <v/>
      </c>
    </row>
    <row r="1493" spans="1:9" x14ac:dyDescent="0.3">
      <c r="A1493" s="2">
        <v>1492</v>
      </c>
      <c r="B1493" s="4" t="s">
        <v>28</v>
      </c>
      <c r="C1493" s="3" t="str">
        <f>"TFC000003782"</f>
        <v>TFC000003782</v>
      </c>
      <c r="D1493" s="3" t="str">
        <f>"F800-21-0340-(AR 2.7)"</f>
        <v>F800-21-0340-(AR 2.7)</v>
      </c>
      <c r="E1493" s="3" t="str">
        <f>"El Deafo"</f>
        <v>El Deafo</v>
      </c>
      <c r="F1493" s="3" t="str">
        <f>"by Cece Bell ; color by David Lasky"</f>
        <v>by Cece Bell ; color by David Lasky</v>
      </c>
      <c r="G1493" s="3" t="str">
        <f>"Amulet Books"</f>
        <v>Amulet Books</v>
      </c>
      <c r="H1493" s="2" t="str">
        <f>"2014"</f>
        <v>2014</v>
      </c>
      <c r="I1493" s="3" t="str">
        <f>""</f>
        <v/>
      </c>
    </row>
    <row r="1494" spans="1:9" x14ac:dyDescent="0.3">
      <c r="A1494" s="2">
        <v>1493</v>
      </c>
      <c r="B1494" s="4" t="s">
        <v>28</v>
      </c>
      <c r="C1494" s="3" t="str">
        <f>"TFC000003792"</f>
        <v>TFC000003792</v>
      </c>
      <c r="D1494" s="3" t="str">
        <f>"F800-21-0341-(AR 2.7)"</f>
        <v>F800-21-0341-(AR 2.7)</v>
      </c>
      <c r="E1494" s="3" t="str">
        <f>"Froggy picks a pumpkin"</f>
        <v>Froggy picks a pumpkin</v>
      </c>
      <c r="F1494" s="3" t="str">
        <f>"by Jonathan London ; illustrated by Frank Remkiewicz"</f>
        <v>by Jonathan London ; illustrated by Frank Remkiewicz</v>
      </c>
      <c r="G1494" s="3" t="str">
        <f>"Viking"</f>
        <v>Viking</v>
      </c>
      <c r="H1494" s="2" t="str">
        <f>"2019"</f>
        <v>2019</v>
      </c>
      <c r="I1494" s="3" t="str">
        <f>""</f>
        <v/>
      </c>
    </row>
    <row r="1495" spans="1:9" x14ac:dyDescent="0.3">
      <c r="A1495" s="2">
        <v>1494</v>
      </c>
      <c r="B1495" s="4" t="s">
        <v>28</v>
      </c>
      <c r="C1495" s="3" t="str">
        <f>"TFC000003842"</f>
        <v>TFC000003842</v>
      </c>
      <c r="D1495" s="3" t="str">
        <f>"F800-21-0343-(AR 2.7)"</f>
        <v>F800-21-0343-(AR 2.7)</v>
      </c>
      <c r="E1495" s="3" t="str">
        <f>"Duck and Hippo : the secret valentine"</f>
        <v>Duck and Hippo : the secret valentine</v>
      </c>
      <c r="F1495" s="3" t="str">
        <f>"by Jonathan London, illustrated by Andrew Joyner"</f>
        <v>by Jonathan London, illustrated by Andrew Joyner</v>
      </c>
      <c r="G1495" s="3" t="str">
        <f>"Two Lions"</f>
        <v>Two Lions</v>
      </c>
      <c r="H1495" s="2" t="str">
        <f>"2018"</f>
        <v>2018</v>
      </c>
      <c r="I1495" s="3" t="str">
        <f>""</f>
        <v/>
      </c>
    </row>
    <row r="1496" spans="1:9" x14ac:dyDescent="0.3">
      <c r="A1496" s="2">
        <v>1495</v>
      </c>
      <c r="B1496" s="4" t="s">
        <v>28</v>
      </c>
      <c r="C1496" s="3" t="str">
        <f>"TFC000003980"</f>
        <v>TFC000003980</v>
      </c>
      <c r="D1496" s="3" t="str">
        <f>"F800-21-0345-(AR 2.7)"</f>
        <v>F800-21-0345-(AR 2.7)</v>
      </c>
      <c r="E1496" s="3" t="str">
        <f>"(A)Feast for Joseph"</f>
        <v>(A)Feast for Joseph</v>
      </c>
      <c r="F1496" s="3" t="str">
        <f>"story by Terry Farish, OD Bonny, pictures by Ken Daley"</f>
        <v>story by Terry Farish, OD Bonny, pictures by Ken Daley</v>
      </c>
      <c r="G1496" s="3" t="str">
        <f>"Groundwood Books"</f>
        <v>Groundwood Books</v>
      </c>
      <c r="H1496" s="2" t="str">
        <f>"2021"</f>
        <v>2021</v>
      </c>
      <c r="I1496" s="3" t="str">
        <f>""</f>
        <v/>
      </c>
    </row>
    <row r="1497" spans="1:9" x14ac:dyDescent="0.3">
      <c r="A1497" s="2">
        <v>1496</v>
      </c>
      <c r="B1497" s="4" t="s">
        <v>28</v>
      </c>
      <c r="C1497" s="3" t="str">
        <f>"TFC000004047"</f>
        <v>TFC000004047</v>
      </c>
      <c r="D1497" s="3" t="str">
        <f>"F800-21-0348-(AR 2.7)"</f>
        <v>F800-21-0348-(AR 2.7)</v>
      </c>
      <c r="E1497" s="3" t="str">
        <f>"(A)Trip to Grandma's"</f>
        <v>(A)Trip to Grandma's</v>
      </c>
      <c r="F1497" s="3" t="str">
        <f>"by C. L. Reid, illustrated by Elena Aiello"</f>
        <v>by C. L. Reid, illustrated by Elena Aiello</v>
      </c>
      <c r="G1497" s="3" t="str">
        <f>"Picture Window Books"</f>
        <v>Picture Window Books</v>
      </c>
      <c r="H1497" s="2" t="str">
        <f>"2021"</f>
        <v>2021</v>
      </c>
      <c r="I1497" s="3" t="str">
        <f>""</f>
        <v/>
      </c>
    </row>
    <row r="1498" spans="1:9" x14ac:dyDescent="0.3">
      <c r="A1498" s="2">
        <v>1497</v>
      </c>
      <c r="B1498" s="4" t="s">
        <v>28</v>
      </c>
      <c r="C1498" s="3" t="str">
        <f>"TFC000004048"</f>
        <v>TFC000004048</v>
      </c>
      <c r="D1498" s="3" t="str">
        <f>"F800-21-0349-(AR 2.7)"</f>
        <v>F800-21-0349-(AR 2.7)</v>
      </c>
      <c r="E1498" s="3" t="str">
        <f>"School Spirit"</f>
        <v>School Spirit</v>
      </c>
      <c r="F1498" s="3" t="str">
        <f>"by John Sazaklis, illustrated by Jesus Lopez"</f>
        <v>by John Sazaklis, illustrated by Jesus Lopez</v>
      </c>
      <c r="G1498" s="3" t="str">
        <f>"Picture Window"</f>
        <v>Picture Window</v>
      </c>
      <c r="H1498" s="2" t="str">
        <f>"2021"</f>
        <v>2021</v>
      </c>
      <c r="I1498" s="3" t="str">
        <f>""</f>
        <v/>
      </c>
    </row>
    <row r="1499" spans="1:9" x14ac:dyDescent="0.3">
      <c r="A1499" s="2">
        <v>1498</v>
      </c>
      <c r="B1499" s="4" t="s">
        <v>28</v>
      </c>
      <c r="C1499" s="3" t="str">
        <f>"TFC000004049"</f>
        <v>TFC000004049</v>
      </c>
      <c r="D1499" s="3" t="str">
        <f>"F800-21-0350-(AR 2.7)"</f>
        <v>F800-21-0350-(AR 2.7)</v>
      </c>
      <c r="E1499" s="3" t="str">
        <f>"Beware the bookworm"</f>
        <v>Beware the bookworm</v>
      </c>
      <c r="F1499" s="3" t="str">
        <f>"by John Sazaklis, illustrated by Patrycja Fabicka"</f>
        <v>by John Sazaklis, illustrated by Patrycja Fabicka</v>
      </c>
      <c r="G1499" s="3" t="str">
        <f>"Picture Window Books"</f>
        <v>Picture Window Books</v>
      </c>
      <c r="H1499" s="2" t="str">
        <f>"2022"</f>
        <v>2022</v>
      </c>
      <c r="I1499" s="3" t="str">
        <f>""</f>
        <v/>
      </c>
    </row>
    <row r="1500" spans="1:9" x14ac:dyDescent="0.3">
      <c r="A1500" s="2">
        <v>1499</v>
      </c>
      <c r="B1500" s="4" t="s">
        <v>28</v>
      </c>
      <c r="C1500" s="3" t="str">
        <f>"TFC000004151"</f>
        <v>TFC000004151</v>
      </c>
      <c r="D1500" s="3" t="str">
        <f>"F800-21-0352-(AR 2.7)"</f>
        <v>F800-21-0352-(AR 2.7)</v>
      </c>
      <c r="E1500" s="3" t="str">
        <f>"Elbow Grease"</f>
        <v>Elbow Grease</v>
      </c>
      <c r="F1500" s="3" t="str">
        <f>"by John Cena, Illustrated by Howard McWilliam"</f>
        <v>by John Cena, Illustrated by Howard McWilliam</v>
      </c>
      <c r="G1500" s="3" t="str">
        <f>"Random House"</f>
        <v>Random House</v>
      </c>
      <c r="H1500" s="2" t="str">
        <f>"2018"</f>
        <v>2018</v>
      </c>
      <c r="I1500" s="3" t="str">
        <f>""</f>
        <v/>
      </c>
    </row>
    <row r="1501" spans="1:9" x14ac:dyDescent="0.3">
      <c r="A1501" s="2">
        <v>1500</v>
      </c>
      <c r="B1501" s="4" t="s">
        <v>28</v>
      </c>
      <c r="C1501" s="3" t="str">
        <f>"TFC000004273"</f>
        <v>TFC000004273</v>
      </c>
      <c r="D1501" s="3" t="str">
        <f>"F800-22-0012-(AR 2.7)"</f>
        <v>F800-22-0012-(AR 2.7)</v>
      </c>
      <c r="E1501" s="3" t="str">
        <f>"(The)bad guys. 11, in dawn of the underlord"</f>
        <v>(The)bad guys. 11, in dawn of the underlord</v>
      </c>
      <c r="F1501" s="3" t="str">
        <f>"by Aaron Blabey"</f>
        <v>by Aaron Blabey</v>
      </c>
      <c r="G1501" s="3" t="str">
        <f>"Scholastic"</f>
        <v>Scholastic</v>
      </c>
      <c r="H1501" s="2" t="str">
        <f>"2019"</f>
        <v>2019</v>
      </c>
      <c r="I1501" s="3" t="str">
        <f>""</f>
        <v/>
      </c>
    </row>
    <row r="1502" spans="1:9" x14ac:dyDescent="0.3">
      <c r="A1502" s="2">
        <v>1501</v>
      </c>
      <c r="B1502" s="4" t="s">
        <v>28</v>
      </c>
      <c r="C1502" s="3" t="str">
        <f>"TFC000004908"</f>
        <v>TFC000004908</v>
      </c>
      <c r="D1502" s="3" t="str">
        <f>"F800-23-0012-(AR2.7)"</f>
        <v>F800-23-0012-(AR2.7)</v>
      </c>
      <c r="E1502" s="3" t="str">
        <f>"(The)Dragonet Prophecy : the graphic novel. 1"</f>
        <v>(The)Dragonet Prophecy : the graphic novel. 1</v>
      </c>
      <c r="F1502" s="3" t="str">
        <f>"by Tui T. Sutherland"</f>
        <v>by Tui T. Sutherland</v>
      </c>
      <c r="G1502" s="3" t="str">
        <f>"Graphix"</f>
        <v>Graphix</v>
      </c>
      <c r="H1502" s="2" t="str">
        <f>"2018"</f>
        <v>2018</v>
      </c>
      <c r="I1502" s="3" t="str">
        <f>""</f>
        <v/>
      </c>
    </row>
    <row r="1503" spans="1:9" x14ac:dyDescent="0.3">
      <c r="A1503" s="2">
        <v>1502</v>
      </c>
      <c r="B1503" s="4" t="s">
        <v>28</v>
      </c>
      <c r="C1503" s="3" t="str">
        <f>"TFC000004697"</f>
        <v>TFC000004697</v>
      </c>
      <c r="D1503" s="3" t="str">
        <f>"F800-22-0506-(AR2.7)"</f>
        <v>F800-22-0506-(AR2.7)</v>
      </c>
      <c r="E1503" s="3" t="str">
        <f>"Minecraft. Volume 2 : Graphic Novel"</f>
        <v>Minecraft. Volume 2 : Graphic Novel</v>
      </c>
      <c r="F1503" s="3" t="str">
        <f>"by Sfe R. Monster, ill Sarah Graley"</f>
        <v>by Sfe R. Monster, ill Sarah Graley</v>
      </c>
      <c r="G1503" s="3" t="str">
        <f>"Dark Horse Books"</f>
        <v>Dark Horse Books</v>
      </c>
      <c r="H1503" s="2" t="str">
        <f>"2020"</f>
        <v>2020</v>
      </c>
      <c r="I1503" s="3" t="str">
        <f>""</f>
        <v/>
      </c>
    </row>
    <row r="1504" spans="1:9" x14ac:dyDescent="0.3">
      <c r="A1504" s="2">
        <v>1503</v>
      </c>
      <c r="B1504" s="4" t="s">
        <v>28</v>
      </c>
      <c r="C1504" s="3" t="str">
        <f>"TFC000004442"</f>
        <v>TFC000004442</v>
      </c>
      <c r="D1504" s="3" t="str">
        <f>"F800-22-0251-(AR2.7)"</f>
        <v>F800-22-0251-(AR2.7)</v>
      </c>
      <c r="E1504" s="3" t="str">
        <f>"My words flew away like birds"</f>
        <v>My words flew away like birds</v>
      </c>
      <c r="F1504" s="3" t="str">
        <f>"text by Debora Pearson, illustrated by Shrija Jain"</f>
        <v>text by Debora Pearson, illustrated by Shrija Jain</v>
      </c>
      <c r="G1504" s="3" t="str">
        <f>"Kids Can Press"</f>
        <v>Kids Can Press</v>
      </c>
      <c r="H1504" s="2" t="str">
        <f>"2021"</f>
        <v>2021</v>
      </c>
      <c r="I1504" s="3" t="str">
        <f>""</f>
        <v/>
      </c>
    </row>
    <row r="1505" spans="1:9" x14ac:dyDescent="0.3">
      <c r="A1505" s="2">
        <v>1504</v>
      </c>
      <c r="B1505" s="4" t="s">
        <v>28</v>
      </c>
      <c r="C1505" s="3" t="str">
        <f>"TFC000004441"</f>
        <v>TFC000004441</v>
      </c>
      <c r="D1505" s="3" t="str">
        <f>"F800-22-0250-(AR2.7)"</f>
        <v>F800-22-0250-(AR2.7)</v>
      </c>
      <c r="E1505" s="3" t="str">
        <f>"Pug's Sleepover : A Branches Book"</f>
        <v>Pug's Sleepover : A Branches Book</v>
      </c>
      <c r="F1505" s="3" t="str">
        <f>"by Kyla May"</f>
        <v>by Kyla May</v>
      </c>
      <c r="G1505" s="3" t="str">
        <f>"Scholastic Inc"</f>
        <v>Scholastic Inc</v>
      </c>
      <c r="H1505" s="2" t="str">
        <f>"2022"</f>
        <v>2022</v>
      </c>
      <c r="I1505" s="3" t="str">
        <f>""</f>
        <v/>
      </c>
    </row>
    <row r="1506" spans="1:9" x14ac:dyDescent="0.3">
      <c r="A1506" s="2">
        <v>1505</v>
      </c>
      <c r="B1506" s="4" t="s">
        <v>28</v>
      </c>
      <c r="C1506" s="3" t="str">
        <f>"TFC000004346"</f>
        <v>TFC000004346</v>
      </c>
      <c r="D1506" s="3" t="str">
        <f>"F800-22-0155-(AR2.7)"</f>
        <v>F800-22-0155-(AR2.7)</v>
      </c>
      <c r="E1506" s="3" t="str">
        <f>"(The)Doll in the Hall and Other Scary Stories"</f>
        <v>(The)Doll in the Hall and Other Scary Stories</v>
      </c>
      <c r="F1506" s="3" t="str">
        <f>"written by Max Brallier, illustrated by Letizia Rubegni"</f>
        <v>written by Max Brallier, illustrated by Letizia Rubegni</v>
      </c>
      <c r="G1506" s="3" t="str">
        <f>"Scholastic"</f>
        <v>Scholastic</v>
      </c>
      <c r="H1506" s="2" t="str">
        <f>"2020"</f>
        <v>2020</v>
      </c>
      <c r="I1506" s="3" t="str">
        <f>""</f>
        <v/>
      </c>
    </row>
    <row r="1507" spans="1:9" x14ac:dyDescent="0.3">
      <c r="A1507" s="2">
        <v>1506</v>
      </c>
      <c r="B1507" s="4" t="s">
        <v>28</v>
      </c>
      <c r="C1507" s="3" t="str">
        <f>"TFC000004524"</f>
        <v>TFC000004524</v>
      </c>
      <c r="D1507" s="3" t="str">
        <f>"F600-22-0333-(AR2.7)"</f>
        <v>F600-22-0333-(AR2.7)</v>
      </c>
      <c r="E1507" s="3" t="str">
        <f>"Fast-Pitch Feud"</f>
        <v>Fast-Pitch Feud</v>
      </c>
      <c r="F1507" s="3" t="str">
        <f>"by Jake Maddox, Art by Alves, Lelo"</f>
        <v>by Jake Maddox, Art by Alves, Lelo</v>
      </c>
      <c r="G1507" s="3" t="str">
        <f>"Stone Arch Books"</f>
        <v>Stone Arch Books</v>
      </c>
      <c r="H1507" s="2" t="str">
        <f>"2022"</f>
        <v>2022</v>
      </c>
      <c r="I1507" s="3" t="str">
        <f>""</f>
        <v/>
      </c>
    </row>
    <row r="1508" spans="1:9" x14ac:dyDescent="0.3">
      <c r="A1508" s="2">
        <v>1507</v>
      </c>
      <c r="B1508" s="4" t="s">
        <v>28</v>
      </c>
      <c r="C1508" s="3" t="str">
        <f>"TFC000004680"</f>
        <v>TFC000004680</v>
      </c>
      <c r="D1508" s="3" t="str">
        <f>"F800-22-0489-(AR2.7)"</f>
        <v>F800-22-0489-(AR2.7)</v>
      </c>
      <c r="E1508" s="3" t="str">
        <f>"Trick-Shot Triumph"</f>
        <v>Trick-Shot Triumph</v>
      </c>
      <c r="F1508" s="3" t="str">
        <f>"by Jake Maddox, art by Eduardo Garcia"</f>
        <v>by Jake Maddox, art by Eduardo Garcia</v>
      </c>
      <c r="G1508" s="3" t="str">
        <f>"Stone Arch Books"</f>
        <v>Stone Arch Books</v>
      </c>
      <c r="H1508" s="2" t="str">
        <f>"2022"</f>
        <v>2022</v>
      </c>
      <c r="I1508" s="3" t="str">
        <f>""</f>
        <v/>
      </c>
    </row>
    <row r="1509" spans="1:9" x14ac:dyDescent="0.3">
      <c r="A1509" s="2">
        <v>1508</v>
      </c>
      <c r="B1509" s="4" t="s">
        <v>28</v>
      </c>
      <c r="C1509" s="3" t="str">
        <f>"TFC000004696"</f>
        <v>TFC000004696</v>
      </c>
      <c r="D1509" s="3" t="str">
        <f>"F800-22-0505-(AR2.7)"</f>
        <v>F800-22-0505-(AR2.7)</v>
      </c>
      <c r="E1509" s="3" t="str">
        <f>"Minecraft. Volume 1 : Graphic Novel"</f>
        <v>Minecraft. Volume 1 : Graphic Novel</v>
      </c>
      <c r="F1509" s="3" t="str">
        <f>"by Sfe R. Monster, Sarah Graley"</f>
        <v>by Sfe R. Monster, Sarah Graley</v>
      </c>
      <c r="G1509" s="3" t="str">
        <f>"Dark Horse Books"</f>
        <v>Dark Horse Books</v>
      </c>
      <c r="H1509" s="2" t="str">
        <f>"2019"</f>
        <v>2019</v>
      </c>
      <c r="I1509" s="3" t="str">
        <f>""</f>
        <v/>
      </c>
    </row>
    <row r="1510" spans="1:9" x14ac:dyDescent="0.3">
      <c r="A1510" s="2">
        <v>1509</v>
      </c>
      <c r="B1510" s="4" t="s">
        <v>28</v>
      </c>
      <c r="C1510" s="3" t="str">
        <f>"TFC000000934"</f>
        <v>TFC000000934</v>
      </c>
      <c r="D1510" s="3" t="str">
        <f>"F800-20-1036-1(AR 2.7)"</f>
        <v>F800-20-1036-1(AR 2.7)</v>
      </c>
      <c r="E1510" s="3" t="str">
        <f>"Miss Nelson is back"</f>
        <v>Miss Nelson is back</v>
      </c>
      <c r="F1510" s="3" t="str">
        <f>"by Harry Allard, James Marshall"</f>
        <v>by Harry Allard, James Marshall</v>
      </c>
      <c r="G1510" s="3" t="str">
        <f>"Houghton Mifflin Harcourt"</f>
        <v>Houghton Mifflin Harcourt</v>
      </c>
      <c r="H1510" s="2" t="str">
        <f>"1982"</f>
        <v>1982</v>
      </c>
      <c r="I1510" s="2" t="s">
        <v>2</v>
      </c>
    </row>
    <row r="1511" spans="1:9" x14ac:dyDescent="0.3">
      <c r="A1511" s="2">
        <v>1510</v>
      </c>
      <c r="B1511" s="4" t="s">
        <v>28</v>
      </c>
      <c r="C1511" s="3" t="str">
        <f>"TFC000001011"</f>
        <v>TFC000001011</v>
      </c>
      <c r="D1511" s="3" t="str">
        <f>"F800-20-1113-1(AR 2.7)"</f>
        <v>F800-20-1113-1(AR 2.7)</v>
      </c>
      <c r="E1511" s="3" t="str">
        <f>"Mr. Putter &amp; Tabby pick the pears"</f>
        <v>Mr. Putter &amp; Tabby pick the pears</v>
      </c>
      <c r="F1511" s="3" t="str">
        <f>"Cynthia Rylant ; illustrated by Arthur Howard"</f>
        <v>Cynthia Rylant ; illustrated by Arthur Howard</v>
      </c>
      <c r="G1511" s="3" t="str">
        <f>"Harcourt Mifflin Harcourt"</f>
        <v>Harcourt Mifflin Harcourt</v>
      </c>
      <c r="H1511" s="2" t="str">
        <f>"2008"</f>
        <v>2008</v>
      </c>
      <c r="I1511" s="3" t="str">
        <f>""</f>
        <v/>
      </c>
    </row>
    <row r="1512" spans="1:9" x14ac:dyDescent="0.3">
      <c r="A1512" s="2">
        <v>1511</v>
      </c>
      <c r="B1512" s="4" t="s">
        <v>28</v>
      </c>
      <c r="C1512" s="3" t="str">
        <f>"TFC000000978"</f>
        <v>TFC000000978</v>
      </c>
      <c r="D1512" s="3" t="str">
        <f>"F800-20-1080-10(AR 2.7)"</f>
        <v>F800-20-1080-10(AR 2.7)</v>
      </c>
      <c r="E1512" s="3" t="str">
        <f>"Owl diaries. 10, eva and baby mo"</f>
        <v>Owl diaries. 10, eva and baby mo</v>
      </c>
      <c r="F1512" s="3" t="str">
        <f>"Rebecca Elliott"</f>
        <v>Rebecca Elliott</v>
      </c>
      <c r="G1512" s="3" t="str">
        <f>"Scholastic"</f>
        <v>Scholastic</v>
      </c>
      <c r="H1512" s="2" t="str">
        <f>"2019"</f>
        <v>2019</v>
      </c>
      <c r="I1512" s="3" t="str">
        <f>""</f>
        <v/>
      </c>
    </row>
    <row r="1513" spans="1:9" x14ac:dyDescent="0.3">
      <c r="A1513" s="2">
        <v>1512</v>
      </c>
      <c r="B1513" s="4">
        <v>2.7</v>
      </c>
      <c r="C1513" s="3" t="str">
        <f>"TFC000001007"</f>
        <v>TFC000001007</v>
      </c>
      <c r="D1513" s="3" t="str">
        <f>"F800-20-1109-14(AR 2.7)"</f>
        <v>F800-20-1109-14(AR 2.7)</v>
      </c>
      <c r="E1513" s="3" t="str">
        <f>"Henry and Mudge and the funny lunch : the twenty-fourth book of their adventures"</f>
        <v>Henry and Mudge and the funny lunch : the twenty-fourth book of their adventures</v>
      </c>
      <c r="F1513" s="3" t="str">
        <f>"by Cynthia Rylant ; illustrated by Carolyn Bracken in the style of Suc?ie Stevenson"</f>
        <v>by Cynthia Rylant ; illustrated by Carolyn Bracken in the style of Suc?ie Stevenson</v>
      </c>
      <c r="G1513" s="3" t="str">
        <f>"Simon Spotlight"</f>
        <v>Simon Spotlight</v>
      </c>
      <c r="H1513" s="2" t="str">
        <f>"2005"</f>
        <v>2005</v>
      </c>
      <c r="I1513" s="3" t="str">
        <f>""</f>
        <v/>
      </c>
    </row>
    <row r="1514" spans="1:9" x14ac:dyDescent="0.3">
      <c r="A1514" s="2">
        <v>1513</v>
      </c>
      <c r="B1514" s="4">
        <v>2.7</v>
      </c>
      <c r="C1514" s="3" t="str">
        <f>"TFC000001008"</f>
        <v>TFC000001008</v>
      </c>
      <c r="D1514" s="3" t="str">
        <f>"F800-20-1110-15(AR 2.7)"</f>
        <v>F800-20-1110-15(AR 2.7)</v>
      </c>
      <c r="E1514" s="3" t="str">
        <f>"Henry and Mudge and the happy cat : the eighth book of their adventures"</f>
        <v>Henry and Mudge and the happy cat : the eighth book of their adventures</v>
      </c>
      <c r="F1514" s="3" t="str">
        <f>"story by Cynthia Rylant ; pictures by Suc?ie Stevenson"</f>
        <v>story by Cynthia Rylant ; pictures by Suc?ie Stevenson</v>
      </c>
      <c r="G1514" s="3" t="str">
        <f>"Simon Spotlight"</f>
        <v>Simon Spotlight</v>
      </c>
      <c r="H1514" s="2" t="str">
        <f>"1994"</f>
        <v>1994</v>
      </c>
      <c r="I1514" s="3" t="str">
        <f>""</f>
        <v/>
      </c>
    </row>
    <row r="1515" spans="1:9" x14ac:dyDescent="0.3">
      <c r="A1515" s="2">
        <v>1514</v>
      </c>
      <c r="B1515" s="4">
        <v>2.7</v>
      </c>
      <c r="C1515" s="3" t="str">
        <f>"TFC000001009"</f>
        <v>TFC000001009</v>
      </c>
      <c r="D1515" s="3" t="str">
        <f>"F800-20-1111-16(AR 2.7)"</f>
        <v>F800-20-1111-16(AR 2.7)</v>
      </c>
      <c r="E1515" s="3" t="str">
        <f>"Henry and Mudge get the cold shivers : the seventh book of their adventures"</f>
        <v>Henry and Mudge get the cold shivers : the seventh book of their adventures</v>
      </c>
      <c r="F1515" s="3" t="str">
        <f>"story by Cynthia Rylant ; pictures by Sucie Stevenson"</f>
        <v>story by Cynthia Rylant ; pictures by Sucie Stevenson</v>
      </c>
      <c r="G1515" s="3" t="str">
        <f>"Aladdin"</f>
        <v>Aladdin</v>
      </c>
      <c r="H1515" s="2" t="str">
        <f>"1994"</f>
        <v>1994</v>
      </c>
      <c r="I1515" s="3" t="str">
        <f>""</f>
        <v/>
      </c>
    </row>
    <row r="1516" spans="1:9" x14ac:dyDescent="0.3">
      <c r="A1516" s="2">
        <v>1515</v>
      </c>
      <c r="B1516" s="4">
        <v>2.7</v>
      </c>
      <c r="C1516" s="3" t="str">
        <f>"TFC000001010"</f>
        <v>TFC000001010</v>
      </c>
      <c r="D1516" s="3" t="str">
        <f>"F800-20-1112-17(AR 2.7)"</f>
        <v>F800-20-1112-17(AR 2.7)</v>
      </c>
      <c r="E1516" s="3" t="str">
        <f>"Henry and Mudge the first book : the first book of their adventures"</f>
        <v>Henry and Mudge the first book : the first book of their adventures</v>
      </c>
      <c r="F1516" s="3" t="str">
        <f>"story by Cynthia Rylant ; pictures by Suc?ie Stevenson"</f>
        <v>story by Cynthia Rylant ; pictures by Suc?ie Stevenson</v>
      </c>
      <c r="G1516" s="3" t="str">
        <f>"Simon Spotlight"</f>
        <v>Simon Spotlight</v>
      </c>
      <c r="H1516" s="2" t="str">
        <f>"1990"</f>
        <v>1990</v>
      </c>
      <c r="I1516" s="3" t="str">
        <f>""</f>
        <v/>
      </c>
    </row>
    <row r="1517" spans="1:9" x14ac:dyDescent="0.3">
      <c r="A1517" s="2">
        <v>1516</v>
      </c>
      <c r="B1517" s="4">
        <v>2.7</v>
      </c>
      <c r="C1517" s="3" t="str">
        <f>"TFC000000935"</f>
        <v>TFC000000935</v>
      </c>
      <c r="D1517" s="3" t="str">
        <f>"F800-20-1037-2(AR 2.7)"</f>
        <v>F800-20-1037-2(AR 2.7)</v>
      </c>
      <c r="E1517" s="3" t="str">
        <f>"Miss Nelson is Missing!"</f>
        <v>Miss Nelson is Missing!</v>
      </c>
      <c r="F1517" s="3" t="str">
        <f>"by Harry Allard ; James Marshall"</f>
        <v>by Harry Allard ; James Marshall</v>
      </c>
      <c r="G1517" s="3" t="str">
        <f>"Houghton Mifflin Harcourt"</f>
        <v>Houghton Mifflin Harcourt</v>
      </c>
      <c r="H1517" s="2" t="str">
        <f>"1977"</f>
        <v>1977</v>
      </c>
      <c r="I1517" s="3" t="str">
        <f>""</f>
        <v/>
      </c>
    </row>
    <row r="1518" spans="1:9" x14ac:dyDescent="0.3">
      <c r="A1518" s="2">
        <v>1517</v>
      </c>
      <c r="B1518" s="4">
        <v>2.7</v>
      </c>
      <c r="C1518" s="3" t="str">
        <f>"TFC000001012"</f>
        <v>TFC000001012</v>
      </c>
      <c r="D1518" s="3" t="str">
        <f>"F800-20-1114-2(AR 2.7)"</f>
        <v>F800-20-1114-2(AR 2.7)</v>
      </c>
      <c r="E1518" s="3" t="str">
        <f>"Mr. Putter &amp; Tabby row the boat"</f>
        <v>Mr. Putter &amp; Tabby row the boat</v>
      </c>
      <c r="F1518" s="3" t="str">
        <f>"Cynthia Rylant ; illustrated by Arthur Howard"</f>
        <v>Cynthia Rylant ; illustrated by Arthur Howard</v>
      </c>
      <c r="G1518" s="3" t="str">
        <f>"Harcourt Mifflin Harcourt"</f>
        <v>Harcourt Mifflin Harcourt</v>
      </c>
      <c r="H1518" s="2" t="str">
        <f>"2008"</f>
        <v>2008</v>
      </c>
      <c r="I1518" s="3" t="str">
        <f>""</f>
        <v/>
      </c>
    </row>
    <row r="1519" spans="1:9" x14ac:dyDescent="0.3">
      <c r="A1519" s="2">
        <v>1518</v>
      </c>
      <c r="B1519" s="4">
        <v>2.7</v>
      </c>
      <c r="C1519" s="3" t="str">
        <f>"TFC000003982"</f>
        <v>TFC000003982</v>
      </c>
      <c r="D1519" s="3" t="str">
        <f>"F800-21-0347-2(AR 2.7)"</f>
        <v>F800-21-0347-2(AR 2.7)</v>
      </c>
      <c r="E1519" s="3" t="str">
        <f>"(The)Baby-sitters Club. 2, (The) truth about Stacey"</f>
        <v>(The)Baby-sitters Club. 2, (The) truth about Stacey</v>
      </c>
      <c r="F1519" s="3" t="str">
        <f>"Ann M. Martin, a graphic novel by Raina Telgemeier, with color by Braden Lamb"</f>
        <v>Ann M. Martin, a graphic novel by Raina Telgemeier, with color by Braden Lamb</v>
      </c>
      <c r="G1519" s="3" t="str">
        <f>"Graphix, an imprint of Scholastic"</f>
        <v>Graphix, an imprint of Scholastic</v>
      </c>
      <c r="H1519" s="2" t="str">
        <f>"2015"</f>
        <v>2015</v>
      </c>
      <c r="I1519" s="3" t="str">
        <f>""</f>
        <v/>
      </c>
    </row>
    <row r="1520" spans="1:9" x14ac:dyDescent="0.3">
      <c r="A1520" s="2">
        <v>1519</v>
      </c>
      <c r="B1520" s="4">
        <v>2.7</v>
      </c>
      <c r="C1520" s="3" t="str">
        <f>"TFC000004150"</f>
        <v>TFC000004150</v>
      </c>
      <c r="D1520" s="3" t="str">
        <f>"F800-21-0351-2(AR 2.7)"</f>
        <v>F800-21-0351-2(AR 2.7)</v>
      </c>
      <c r="E1520" s="3" t="str">
        <f>"Making friends. 2, Back to the drawing board"</f>
        <v>Making friends. 2, Back to the drawing board</v>
      </c>
      <c r="F1520" s="3" t="str">
        <f>"by Kristen Gudsnuk"</f>
        <v>by Kristen Gudsnuk</v>
      </c>
      <c r="G1520" s="3" t="str">
        <f>"Graphix"</f>
        <v>Graphix</v>
      </c>
      <c r="H1520" s="2" t="str">
        <f>"2019"</f>
        <v>2019</v>
      </c>
      <c r="I1520" s="3" t="str">
        <f>""</f>
        <v/>
      </c>
    </row>
    <row r="1521" spans="1:9" x14ac:dyDescent="0.3">
      <c r="A1521" s="2">
        <v>1520</v>
      </c>
      <c r="B1521" s="4">
        <v>2.7</v>
      </c>
      <c r="C1521" s="3" t="str">
        <f>"TFC000000960"</f>
        <v>TFC000000960</v>
      </c>
      <c r="D1521" s="3" t="str">
        <f>"F800-20-1062-3(AR 2.7)"</f>
        <v>F800-20-1062-3(AR 2.7)</v>
      </c>
      <c r="E1521" s="3" t="str">
        <f>"Nate the great and the crunchy christmas"</f>
        <v>Nate the great and the crunchy christmas</v>
      </c>
      <c r="F1521" s="3" t="str">
        <f>"by Marjorie Weinman Sharmat, Craig Sharmat ; illustrated by Marc Simont"</f>
        <v>by Marjorie Weinman Sharmat, Craig Sharmat ; illustrated by Marc Simont</v>
      </c>
      <c r="G1521" s="3" t="str">
        <f>"Yearling Book"</f>
        <v>Yearling Book</v>
      </c>
      <c r="H1521" s="2" t="str">
        <f>"2005"</f>
        <v>2005</v>
      </c>
      <c r="I1521" s="3" t="str">
        <f>""</f>
        <v/>
      </c>
    </row>
    <row r="1522" spans="1:9" x14ac:dyDescent="0.3">
      <c r="A1522" s="2">
        <v>1521</v>
      </c>
      <c r="B1522" s="4">
        <v>2.7</v>
      </c>
      <c r="C1522" s="3" t="str">
        <f>"TFC000001013"</f>
        <v>TFC000001013</v>
      </c>
      <c r="D1522" s="3" t="str">
        <f>"F800-20-1115-3(AR 2.7)"</f>
        <v>F800-20-1115-3(AR 2.7)</v>
      </c>
      <c r="E1522" s="3" t="str">
        <f>"Mr. Putter &amp; Tabby see the stars"</f>
        <v>Mr. Putter &amp; Tabby see the stars</v>
      </c>
      <c r="F1522" s="3" t="str">
        <f>"Cynthia Rylant ; illustrated by Arthur Howard"</f>
        <v>Cynthia Rylant ; illustrated by Arthur Howard</v>
      </c>
      <c r="G1522" s="3" t="str">
        <f>"Harcourt Mifflin Harcourt"</f>
        <v>Harcourt Mifflin Harcourt</v>
      </c>
      <c r="H1522" s="2" t="str">
        <f>"2008"</f>
        <v>2008</v>
      </c>
      <c r="I1522" s="3" t="str">
        <f>""</f>
        <v/>
      </c>
    </row>
    <row r="1523" spans="1:9" x14ac:dyDescent="0.3">
      <c r="A1523" s="2">
        <v>1522</v>
      </c>
      <c r="B1523" s="4">
        <v>2.7</v>
      </c>
      <c r="C1523" s="3" t="str">
        <f>"TFC000000961"</f>
        <v>TFC000000961</v>
      </c>
      <c r="D1523" s="3" t="str">
        <f>"F800-20-1063-5(AR 2.7)"</f>
        <v>F800-20-1063-5(AR 2.7)</v>
      </c>
      <c r="E1523" s="3" t="str">
        <f>"Nate the great and the boring beach bag"</f>
        <v>Nate the great and the boring beach bag</v>
      </c>
      <c r="F1523" s="3" t="str">
        <f>"by Marjorie Weinman Sharmat ; illustrated by Marc Simont"</f>
        <v>by Marjorie Weinman Sharmat ; illustrated by Marc Simont</v>
      </c>
      <c r="G1523" s="3" t="str">
        <f>"Yearling Book"</f>
        <v>Yearling Book</v>
      </c>
      <c r="H1523" s="2" t="str">
        <f>"2005"</f>
        <v>2005</v>
      </c>
      <c r="I1523" s="3" t="str">
        <f>""</f>
        <v/>
      </c>
    </row>
    <row r="1524" spans="1:9" x14ac:dyDescent="0.3">
      <c r="A1524" s="2">
        <v>1523</v>
      </c>
      <c r="B1524" s="4">
        <v>2.7</v>
      </c>
      <c r="C1524" s="3" t="str">
        <f>"TFC000003895"</f>
        <v>TFC000003895</v>
      </c>
      <c r="D1524" s="3" t="str">
        <f>"F800-21-0344-5(AR 2.7)"</f>
        <v>F800-21-0344-5(AR 2.7)</v>
      </c>
      <c r="E1524" s="3" t="str">
        <f>"Diary of a Pug. 5, Scaredy-Pug"</f>
        <v>Diary of a Pug. 5, Scaredy-Pug</v>
      </c>
      <c r="F1524" s="3" t="str">
        <f>"by Kyla May"</f>
        <v>by Kyla May</v>
      </c>
      <c r="G1524" s="3" t="str">
        <f>"Branches:Scholastic"</f>
        <v>Branches:Scholastic</v>
      </c>
      <c r="H1524" s="2" t="str">
        <f>"2021"</f>
        <v>2021</v>
      </c>
      <c r="I1524" s="3" t="str">
        <f>""</f>
        <v/>
      </c>
    </row>
    <row r="1525" spans="1:9" x14ac:dyDescent="0.3">
      <c r="A1525" s="2">
        <v>1524</v>
      </c>
      <c r="B1525" s="4">
        <v>2.7</v>
      </c>
      <c r="C1525" s="3" t="str">
        <f>"TFC000003981"</f>
        <v>TFC000003981</v>
      </c>
      <c r="D1525" s="3" t="str">
        <f>"F800-21-0346-5(AR 2.7)"</f>
        <v>F800-21-0346-5(AR 2.7)</v>
      </c>
      <c r="E1525" s="3" t="str">
        <f>"(The)Baby-sitters Club. 5, Dawn and the impossible three"</f>
        <v>(The)Baby-sitters Club. 5, Dawn and the impossible three</v>
      </c>
      <c r="F1525" s="3" t="str">
        <f>"by Ann M. Martin, a graphic novel by Gale Galligan, with color by Braden Lamb"</f>
        <v>by Ann M. Martin, a graphic novel by Gale Galligan, with color by Braden Lamb</v>
      </c>
      <c r="G1525" s="3" t="str">
        <f>"Graphix"</f>
        <v>Graphix</v>
      </c>
      <c r="H1525" s="2" t="str">
        <f>"2017"</f>
        <v>2017</v>
      </c>
      <c r="I1525" s="3" t="str">
        <f>""</f>
        <v/>
      </c>
    </row>
    <row r="1526" spans="1:9" x14ac:dyDescent="0.3">
      <c r="A1526" s="2">
        <v>1525</v>
      </c>
      <c r="B1526" s="4">
        <v>2.7</v>
      </c>
      <c r="C1526" s="3" t="str">
        <f>"TFC000000962"</f>
        <v>TFC000000962</v>
      </c>
      <c r="D1526" s="3" t="str">
        <f>"F800-20-1064-8(AR 2.7)"</f>
        <v>F800-20-1064-8(AR 2.7)</v>
      </c>
      <c r="E1526" s="3" t="str">
        <f>"Nate the great and the sticky case"</f>
        <v>Nate the great and the sticky case</v>
      </c>
      <c r="F1526" s="3" t="str">
        <f>"by Marjorie Weinman Sharmat ; illustrated by Marc Simont"</f>
        <v>by Marjorie Weinman Sharmat ; illustrated by Marc Simont</v>
      </c>
      <c r="G1526" s="3" t="str">
        <f>"Yearling Book"</f>
        <v>Yearling Book</v>
      </c>
      <c r="H1526" s="2" t="str">
        <f>"2006"</f>
        <v>2006</v>
      </c>
      <c r="I1526" s="3" t="str">
        <f>""</f>
        <v/>
      </c>
    </row>
    <row r="1527" spans="1:9" x14ac:dyDescent="0.3">
      <c r="A1527" s="2">
        <v>1526</v>
      </c>
      <c r="B1527" s="4">
        <v>2.7</v>
      </c>
      <c r="C1527" s="3" t="str">
        <f>"TFC000000970"</f>
        <v>TFC000000970</v>
      </c>
      <c r="D1527" s="3" t="str">
        <f>"F800-20-1072-8(AR 2.7)"</f>
        <v>F800-20-1072-8(AR 2.7)</v>
      </c>
      <c r="E1527" s="3" t="str">
        <f>"(The)bad guys. 8, in superbad"</f>
        <v>(The)bad guys. 8, in superbad</v>
      </c>
      <c r="F1527" s="3" t="str">
        <f>"Aaron Blabey"</f>
        <v>Aaron Blabey</v>
      </c>
      <c r="G1527" s="3" t="str">
        <f>"Scholastic"</f>
        <v>Scholastic</v>
      </c>
      <c r="H1527" s="2" t="str">
        <f>"2019"</f>
        <v>2019</v>
      </c>
      <c r="I1527" s="3" t="str">
        <f>""</f>
        <v/>
      </c>
    </row>
    <row r="1528" spans="1:9" x14ac:dyDescent="0.3">
      <c r="A1528" s="2">
        <v>1527</v>
      </c>
      <c r="B1528" s="4" t="s">
        <v>29</v>
      </c>
      <c r="C1528" s="3" t="str">
        <f>"TFC000001060"</f>
        <v>TFC000001060</v>
      </c>
      <c r="D1528" s="3" t="str">
        <f>"F800-20-1176-(AR 2.8)"</f>
        <v>F800-20-1176-(AR 2.8)</v>
      </c>
      <c r="E1528" s="3" t="str">
        <f>"(A)fairy tale"</f>
        <v>(A)fairy tale</v>
      </c>
      <c r="F1528" s="3" t="str">
        <f>"by Apple Jordan ; illustrated by Disney storybook artists"</f>
        <v>by Apple Jordan ; illustrated by Disney storybook artists</v>
      </c>
      <c r="G1528" s="3" t="str">
        <f>"Two Ponds"</f>
        <v>Two Ponds</v>
      </c>
      <c r="H1528" s="2" t="str">
        <f>"2010"</f>
        <v>2010</v>
      </c>
      <c r="I1528" s="2" t="s">
        <v>2</v>
      </c>
    </row>
    <row r="1529" spans="1:9" x14ac:dyDescent="0.3">
      <c r="A1529" s="2">
        <v>1528</v>
      </c>
      <c r="B1529" s="4" t="s">
        <v>29</v>
      </c>
      <c r="C1529" s="3" t="str">
        <f>"TFC000001068"</f>
        <v>TFC000001068</v>
      </c>
      <c r="D1529" s="3" t="str">
        <f>"F800-20-1184-(AR 2.8)"</f>
        <v>F800-20-1184-(AR 2.8)</v>
      </c>
      <c r="E1529" s="3" t="str">
        <f>"Junie B. Jones and that Meanie Jim's birthday"</f>
        <v>Junie B. Jones and that Meanie Jim's birthday</v>
      </c>
      <c r="F1529" s="3" t="str">
        <f>"by Barbara Park ; illustrated by Denise Brunkus"</f>
        <v>by Barbara Park ; illustrated by Denise Brunkus</v>
      </c>
      <c r="G1529" s="3" t="str">
        <f>"Random House"</f>
        <v>Random House</v>
      </c>
      <c r="H1529" s="2" t="str">
        <f>"1996"</f>
        <v>1996</v>
      </c>
      <c r="I1529" s="2" t="s">
        <v>2</v>
      </c>
    </row>
    <row r="1530" spans="1:9" x14ac:dyDescent="0.3">
      <c r="A1530" s="2">
        <v>1529</v>
      </c>
      <c r="B1530" s="4" t="s">
        <v>29</v>
      </c>
      <c r="C1530" s="3" t="str">
        <f>"TFC000001073"</f>
        <v>TFC000001073</v>
      </c>
      <c r="D1530" s="3" t="str">
        <f>"F800-20-1188-(AR 2.8)"</f>
        <v>F800-20-1188-(AR 2.8)</v>
      </c>
      <c r="E1530" s="3" t="str">
        <f>"(Stories of)wizards"</f>
        <v>(Stories of)wizards</v>
      </c>
      <c r="F1530" s="3" t="str">
        <f>"by Christopher Rawson ; adapted by Gill Harvey ; illustrated by Stephen Cartwright"</f>
        <v>by Christopher Rawson ; adapted by Gill Harvey ; illustrated by Stephen Cartwright</v>
      </c>
      <c r="G1530" s="3" t="str">
        <f>"Usborne"</f>
        <v>Usborne</v>
      </c>
      <c r="H1530" s="2" t="str">
        <f>"2007"</f>
        <v>2007</v>
      </c>
      <c r="I1530" s="2" t="s">
        <v>2</v>
      </c>
    </row>
    <row r="1531" spans="1:9" x14ac:dyDescent="0.3">
      <c r="A1531" s="2">
        <v>1530</v>
      </c>
      <c r="B1531" s="4" t="s">
        <v>29</v>
      </c>
      <c r="C1531" s="3" t="str">
        <f>"TFC000001023"</f>
        <v>TFC000001023</v>
      </c>
      <c r="D1531" s="3" t="str">
        <f>"F400-20-1136-(AR 2.8)"</f>
        <v>F400-20-1136-(AR 2.8)</v>
      </c>
      <c r="E1531" s="3" t="str">
        <f>"Coyotes all around"</f>
        <v>Coyotes all around</v>
      </c>
      <c r="F1531" s="3" t="str">
        <f>"by Stuart J. Murphy ; illustrated by Steve Bjorkman"</f>
        <v>by Stuart J. Murphy ; illustrated by Steve Bjorkman</v>
      </c>
      <c r="G1531" s="3" t="str">
        <f>"HarperCollins Publishers"</f>
        <v>HarperCollins Publishers</v>
      </c>
      <c r="H1531" s="2" t="str">
        <f>"2003"</f>
        <v>2003</v>
      </c>
      <c r="I1531" s="3" t="str">
        <f>""</f>
        <v/>
      </c>
    </row>
    <row r="1532" spans="1:9" x14ac:dyDescent="0.3">
      <c r="A1532" s="2">
        <v>1531</v>
      </c>
      <c r="B1532" s="4" t="s">
        <v>29</v>
      </c>
      <c r="C1532" s="3" t="str">
        <f>"TFC000001024"</f>
        <v>TFC000001024</v>
      </c>
      <c r="D1532" s="3" t="str">
        <f>"F400-20-1137-(AR 2.8)"</f>
        <v>F400-20-1137-(AR 2.8)</v>
      </c>
      <c r="E1532" s="3" t="str">
        <f>"Whales : the gentle giants"</f>
        <v>Whales : the gentle giants</v>
      </c>
      <c r="F1532" s="3" t="str">
        <f>"by Joyce Milton ; illustrated by Alton Langford"</f>
        <v>by Joyce Milton ; illustrated by Alton Langford</v>
      </c>
      <c r="G1532" s="3" t="str">
        <f>"Random House"</f>
        <v>Random House</v>
      </c>
      <c r="H1532" s="2" t="str">
        <f>"1989"</f>
        <v>1989</v>
      </c>
      <c r="I1532" s="3" t="str">
        <f>""</f>
        <v/>
      </c>
    </row>
    <row r="1533" spans="1:9" x14ac:dyDescent="0.3">
      <c r="A1533" s="2">
        <v>1532</v>
      </c>
      <c r="B1533" s="4" t="s">
        <v>29</v>
      </c>
      <c r="C1533" s="3" t="str">
        <f>"TFC000001025"</f>
        <v>TFC000001025</v>
      </c>
      <c r="D1533" s="3" t="str">
        <f>"F800-20-1141-(AR 2.8)"</f>
        <v>F800-20-1141-(AR 2.8)</v>
      </c>
      <c r="E1533" s="3" t="str">
        <f>"Bear on a bike"</f>
        <v>Bear on a bike</v>
      </c>
      <c r="F1533" s="3" t="str">
        <f>"written by Stella Blackstone ; illustrated by Debbie Harter"</f>
        <v>written by Stella Blackstone ; illustrated by Debbie Harter</v>
      </c>
      <c r="G1533" s="3" t="str">
        <f>"Barefoot Books"</f>
        <v>Barefoot Books</v>
      </c>
      <c r="H1533" s="2" t="str">
        <f>"2020"</f>
        <v>2020</v>
      </c>
      <c r="I1533" s="3" t="str">
        <f>""</f>
        <v/>
      </c>
    </row>
    <row r="1534" spans="1:9" x14ac:dyDescent="0.3">
      <c r="A1534" s="2">
        <v>1533</v>
      </c>
      <c r="B1534" s="4" t="s">
        <v>29</v>
      </c>
      <c r="C1534" s="3" t="str">
        <f>"TFC000001026"</f>
        <v>TFC000001026</v>
      </c>
      <c r="D1534" s="3" t="str">
        <f>"F800-20-1142-(AR 2.8)"</f>
        <v>F800-20-1142-(AR 2.8)</v>
      </c>
      <c r="E1534" s="3" t="str">
        <f>"Dolphins!"</f>
        <v>Dolphins!</v>
      </c>
      <c r="F1534" s="3" t="str">
        <f>"by Sharon Bokoske, Margaret Davidson ; illustrated by Richard Courtney"</f>
        <v>by Sharon Bokoske, Margaret Davidson ; illustrated by Richard Courtney</v>
      </c>
      <c r="G1534" s="3" t="str">
        <f>"Random House"</f>
        <v>Random House</v>
      </c>
      <c r="H1534" s="2" t="str">
        <f>"1993"</f>
        <v>1993</v>
      </c>
      <c r="I1534" s="3" t="str">
        <f>""</f>
        <v/>
      </c>
    </row>
    <row r="1535" spans="1:9" x14ac:dyDescent="0.3">
      <c r="A1535" s="2">
        <v>1534</v>
      </c>
      <c r="B1535" s="4" t="s">
        <v>29</v>
      </c>
      <c r="C1535" s="3" t="str">
        <f>"TFC000001027"</f>
        <v>TFC000001027</v>
      </c>
      <c r="D1535" s="3" t="str">
        <f>"F800-20-1143-(AR 2.8)"</f>
        <v>F800-20-1143-(AR 2.8)</v>
      </c>
      <c r="E1535" s="3" t="str">
        <f>"Arthur's halloween"</f>
        <v>Arthur's halloween</v>
      </c>
      <c r="F1535" s="3" t="str">
        <f>"by Marc Brown"</f>
        <v>by Marc Brown</v>
      </c>
      <c r="G1535" s="3" t="str">
        <f>"Little, Brown and Company"</f>
        <v>Little, Brown and Company</v>
      </c>
      <c r="H1535" s="2" t="str">
        <f>"2011"</f>
        <v>2011</v>
      </c>
      <c r="I1535" s="3" t="str">
        <f>""</f>
        <v/>
      </c>
    </row>
    <row r="1536" spans="1:9" x14ac:dyDescent="0.3">
      <c r="A1536" s="2">
        <v>1535</v>
      </c>
      <c r="B1536" s="4" t="s">
        <v>29</v>
      </c>
      <c r="C1536" s="3" t="str">
        <f>"TFC000001028"</f>
        <v>TFC000001028</v>
      </c>
      <c r="D1536" s="3" t="str">
        <f>"F800-20-1144-(AR 2.8)"</f>
        <v>F800-20-1144-(AR 2.8)</v>
      </c>
      <c r="E1536" s="3" t="str">
        <f>"Arthur's tooth"</f>
        <v>Arthur's tooth</v>
      </c>
      <c r="F1536" s="3" t="str">
        <f>"by Marc Brown"</f>
        <v>by Marc Brown</v>
      </c>
      <c r="G1536" s="3" t="str">
        <f>"Little, Brown and Company"</f>
        <v>Little, Brown and Company</v>
      </c>
      <c r="H1536" s="2" t="str">
        <f>"2011"</f>
        <v>2011</v>
      </c>
      <c r="I1536" s="3" t="str">
        <f>""</f>
        <v/>
      </c>
    </row>
    <row r="1537" spans="1:9" x14ac:dyDescent="0.3">
      <c r="A1537" s="2">
        <v>1536</v>
      </c>
      <c r="B1537" s="4" t="s">
        <v>29</v>
      </c>
      <c r="C1537" s="3" t="str">
        <f>"TFC000001029"</f>
        <v>TFC000001029</v>
      </c>
      <c r="D1537" s="3" t="str">
        <f>"F800-20-1145-(AR 2.8)"</f>
        <v>F800-20-1145-(AR 2.8)</v>
      </c>
      <c r="E1537" s="3" t="str">
        <f>"Voices in the park"</f>
        <v>Voices in the park</v>
      </c>
      <c r="F1537" s="3" t="str">
        <f>"Anthony Browne"</f>
        <v>Anthony Browne</v>
      </c>
      <c r="G1537" s="3" t="str">
        <f>"DK Publishing"</f>
        <v>DK Publishing</v>
      </c>
      <c r="H1537" s="2" t="str">
        <f>"2001"</f>
        <v>2001</v>
      </c>
      <c r="I1537" s="3" t="str">
        <f>""</f>
        <v/>
      </c>
    </row>
    <row r="1538" spans="1:9" x14ac:dyDescent="0.3">
      <c r="A1538" s="2">
        <v>1537</v>
      </c>
      <c r="B1538" s="4" t="s">
        <v>29</v>
      </c>
      <c r="C1538" s="3" t="str">
        <f>"TFC000001030"</f>
        <v>TFC000001030</v>
      </c>
      <c r="D1538" s="3" t="str">
        <f>"F800-20-1146-(AR 2.8)"</f>
        <v>F800-20-1146-(AR 2.8)</v>
      </c>
      <c r="E1538" s="3" t="str">
        <f>"(The)grouchy ladybug"</f>
        <v>(The)grouchy ladybug</v>
      </c>
      <c r="F1538" s="3" t="str">
        <f>"Eric Carle"</f>
        <v>Eric Carle</v>
      </c>
      <c r="G1538" s="3" t="str">
        <f>"Harper Festival"</f>
        <v>Harper Festival</v>
      </c>
      <c r="H1538" s="2" t="str">
        <f>"1999"</f>
        <v>1999</v>
      </c>
      <c r="I1538" s="3" t="str">
        <f>""</f>
        <v/>
      </c>
    </row>
    <row r="1539" spans="1:9" x14ac:dyDescent="0.3">
      <c r="A1539" s="2">
        <v>1538</v>
      </c>
      <c r="B1539" s="4" t="s">
        <v>29</v>
      </c>
      <c r="C1539" s="3" t="str">
        <f>"TFC000001031"</f>
        <v>TFC000001031</v>
      </c>
      <c r="D1539" s="3" t="str">
        <f>"F800-20-1147-(AR 2.8)"</f>
        <v>F800-20-1147-(AR 2.8)</v>
      </c>
      <c r="E1539" s="3" t="str">
        <f>"(The)grouchy ladybug"</f>
        <v>(The)grouchy ladybug</v>
      </c>
      <c r="F1539" s="3" t="str">
        <f>"Eric Carle"</f>
        <v>Eric Carle</v>
      </c>
      <c r="G1539" s="3" t="str">
        <f>"HarperCollins"</f>
        <v>HarperCollins</v>
      </c>
      <c r="H1539" s="2" t="str">
        <f>"1997"</f>
        <v>1997</v>
      </c>
      <c r="I1539" s="3" t="str">
        <f>""</f>
        <v/>
      </c>
    </row>
    <row r="1540" spans="1:9" x14ac:dyDescent="0.3">
      <c r="A1540" s="2">
        <v>1539</v>
      </c>
      <c r="B1540" s="4" t="s">
        <v>29</v>
      </c>
      <c r="C1540" s="3" t="str">
        <f>"TFC000001032"</f>
        <v>TFC000001032</v>
      </c>
      <c r="D1540" s="3" t="str">
        <f>"F800-20-1148-(AR 2.8)"</f>
        <v>F800-20-1148-(AR 2.8)</v>
      </c>
      <c r="E1540" s="3" t="str">
        <f>"Slowly, slowly, slowly, said the sloth"</f>
        <v>Slowly, slowly, slowly, said the sloth</v>
      </c>
      <c r="F1540" s="3" t="str">
        <f>"by Eric Carle ; foreword by Jane Goodall"</f>
        <v>by Eric Carle ; foreword by Jane Goodall</v>
      </c>
      <c r="G1540" s="3" t="str">
        <f>"Puffin Books"</f>
        <v>Puffin Books</v>
      </c>
      <c r="H1540" s="2" t="str">
        <f>"2007"</f>
        <v>2007</v>
      </c>
      <c r="I1540" s="3" t="str">
        <f>""</f>
        <v/>
      </c>
    </row>
    <row r="1541" spans="1:9" x14ac:dyDescent="0.3">
      <c r="A1541" s="2">
        <v>1540</v>
      </c>
      <c r="B1541" s="4" t="s">
        <v>29</v>
      </c>
      <c r="C1541" s="3" t="str">
        <f>"TFC000001033"</f>
        <v>TFC000001033</v>
      </c>
      <c r="D1541" s="3" t="str">
        <f>"F800-20-1149-(AR 2.8)"</f>
        <v>F800-20-1149-(AR 2.8)</v>
      </c>
      <c r="E1541" s="3" t="str">
        <f>"Hungry, hungry sharks"</f>
        <v>Hungry, hungry sharks</v>
      </c>
      <c r="F1541" s="3" t="str">
        <f>"by Joanna Cole ; illustrated by Patricia Wynne"</f>
        <v>by Joanna Cole ; illustrated by Patricia Wynne</v>
      </c>
      <c r="G1541" s="3" t="str">
        <f>"Random House"</f>
        <v>Random House</v>
      </c>
      <c r="H1541" s="2" t="str">
        <f>"2009"</f>
        <v>2009</v>
      </c>
      <c r="I1541" s="3" t="str">
        <f>""</f>
        <v/>
      </c>
    </row>
    <row r="1542" spans="1:9" x14ac:dyDescent="0.3">
      <c r="A1542" s="2">
        <v>1541</v>
      </c>
      <c r="B1542" s="4" t="s">
        <v>29</v>
      </c>
      <c r="C1542" s="3" t="str">
        <f>"TFC000001034"</f>
        <v>TFC000001034</v>
      </c>
      <c r="D1542" s="3" t="str">
        <f>"F800-20-1150-(AR 2.8)"</f>
        <v>F800-20-1150-(AR 2.8)</v>
      </c>
      <c r="E1542" s="3" t="str">
        <f>"Play with me"</f>
        <v>Play with me</v>
      </c>
      <c r="F1542" s="3" t="str">
        <f>"story and pictures by Marie Hall Ets"</f>
        <v>story and pictures by Marie Hall Ets</v>
      </c>
      <c r="G1542" s="3" t="str">
        <f>"Puffin Books"</f>
        <v>Puffin Books</v>
      </c>
      <c r="H1542" s="2" t="str">
        <f>"1976"</f>
        <v>1976</v>
      </c>
      <c r="I1542" s="3" t="str">
        <f>""</f>
        <v/>
      </c>
    </row>
    <row r="1543" spans="1:9" x14ac:dyDescent="0.3">
      <c r="A1543" s="2">
        <v>1542</v>
      </c>
      <c r="B1543" s="4" t="s">
        <v>29</v>
      </c>
      <c r="C1543" s="3" t="str">
        <f>"TFC000001035"</f>
        <v>TFC000001035</v>
      </c>
      <c r="D1543" s="3" t="str">
        <f>"F800-20-1151-(AR 2.8)"</f>
        <v>F800-20-1151-(AR 2.8)</v>
      </c>
      <c r="E1543" s="3" t="str">
        <f>"Little witch goes to school"</f>
        <v>Little witch goes to school</v>
      </c>
      <c r="F1543" s="3" t="str">
        <f>"by Deborah Hautzig ; illustrated by Sylvie Kantorovitz"</f>
        <v>by Deborah Hautzig ; illustrated by Sylvie Kantorovitz</v>
      </c>
      <c r="G1543" s="3" t="str">
        <f>"Random House"</f>
        <v>Random House</v>
      </c>
      <c r="H1543" s="2" t="str">
        <f>"1998"</f>
        <v>1998</v>
      </c>
      <c r="I1543" s="3" t="str">
        <f>""</f>
        <v/>
      </c>
    </row>
    <row r="1544" spans="1:9" x14ac:dyDescent="0.3">
      <c r="A1544" s="2">
        <v>1543</v>
      </c>
      <c r="B1544" s="4" t="s">
        <v>29</v>
      </c>
      <c r="C1544" s="3" t="str">
        <f>"TFC000001036"</f>
        <v>TFC000001036</v>
      </c>
      <c r="D1544" s="3" t="str">
        <f>"F800-20-1152-(AR 2.8)"</f>
        <v>F800-20-1152-(AR 2.8)</v>
      </c>
      <c r="E1544" s="3" t="str">
        <f>"Little witch learns to read"</f>
        <v>Little witch learns to read</v>
      </c>
      <c r="F1544" s="3" t="str">
        <f>"by Deborah Hautzig ; illustrated by Sylvie Kantorovitz"</f>
        <v>by Deborah Hautzig ; illustrated by Sylvie Kantorovitz</v>
      </c>
      <c r="G1544" s="3" t="str">
        <f>"Random House"</f>
        <v>Random House</v>
      </c>
      <c r="H1544" s="2" t="str">
        <f>"2003"</f>
        <v>2003</v>
      </c>
      <c r="I1544" s="3" t="str">
        <f>""</f>
        <v/>
      </c>
    </row>
    <row r="1545" spans="1:9" x14ac:dyDescent="0.3">
      <c r="A1545" s="2">
        <v>1544</v>
      </c>
      <c r="B1545" s="4" t="s">
        <v>29</v>
      </c>
      <c r="C1545" s="3" t="str">
        <f>"TFC000001038"</f>
        <v>TFC000001038</v>
      </c>
      <c r="D1545" s="3" t="str">
        <f>"F800-20-1154-(AR 2.8)"</f>
        <v>F800-20-1154-(AR 2.8)</v>
      </c>
      <c r="E1545" s="3" t="str">
        <f>"(The)mystery of the pirate ghost"</f>
        <v>(The)mystery of the pirate ghost</v>
      </c>
      <c r="F1545" s="3" t="str">
        <f>"by Goeffrey Hayes"</f>
        <v>by Goeffrey Hayes</v>
      </c>
      <c r="G1545" s="3" t="str">
        <f>"Random House"</f>
        <v>Random House</v>
      </c>
      <c r="H1545" s="2" t="str">
        <f>"1985"</f>
        <v>1985</v>
      </c>
      <c r="I1545" s="3" t="str">
        <f>""</f>
        <v/>
      </c>
    </row>
    <row r="1546" spans="1:9" x14ac:dyDescent="0.3">
      <c r="A1546" s="2">
        <v>1545</v>
      </c>
      <c r="B1546" s="4" t="s">
        <v>29</v>
      </c>
      <c r="C1546" s="3" t="str">
        <f>"TFC000001039"</f>
        <v>TFC000001039</v>
      </c>
      <c r="D1546" s="3" t="str">
        <f>"F800-20-1155-(AR 2.8)"</f>
        <v>F800-20-1155-(AR 2.8)</v>
      </c>
      <c r="E1546" s="3" t="str">
        <f>"(A)bargain for frances"</f>
        <v>(A)bargain for frances</v>
      </c>
      <c r="F1546" s="3" t="str">
        <f>"by Russell Hoban ; pictures by Lillian Hoban"</f>
        <v>by Russell Hoban ; pictures by Lillian Hoban</v>
      </c>
      <c r="G1546" s="3" t="str">
        <f>"HarperTrophy:Moonjin Media"</f>
        <v>HarperTrophy:Moonjin Media</v>
      </c>
      <c r="H1546" s="2" t="str">
        <f>"1992"</f>
        <v>1992</v>
      </c>
      <c r="I1546" s="3" t="str">
        <f>""</f>
        <v/>
      </c>
    </row>
    <row r="1547" spans="1:9" x14ac:dyDescent="0.3">
      <c r="A1547" s="2">
        <v>1546</v>
      </c>
      <c r="B1547" s="4" t="s">
        <v>29</v>
      </c>
      <c r="C1547" s="3" t="str">
        <f>"TFC000001040"</f>
        <v>TFC000001040</v>
      </c>
      <c r="D1547" s="3" t="str">
        <f>"F800-20-1156-(AR 2.8)"</f>
        <v>F800-20-1156-(AR 2.8)</v>
      </c>
      <c r="E1547" s="3" t="str">
        <f>"Anansi the spider : a tale from the ashanti"</f>
        <v>Anansi the spider : a tale from the ashanti</v>
      </c>
      <c r="F1547" s="3" t="str">
        <f>"adapted and illustrated by Gerald McDermott"</f>
        <v>adapted and illustrated by Gerald McDermott</v>
      </c>
      <c r="G1547" s="3" t="str">
        <f>"Herny Holt and Company"</f>
        <v>Herny Holt and Company</v>
      </c>
      <c r="H1547" s="2" t="str">
        <f>"2011"</f>
        <v>2011</v>
      </c>
      <c r="I1547" s="3" t="str">
        <f>""</f>
        <v/>
      </c>
    </row>
    <row r="1548" spans="1:9" x14ac:dyDescent="0.3">
      <c r="A1548" s="2">
        <v>1547</v>
      </c>
      <c r="B1548" s="4" t="s">
        <v>29</v>
      </c>
      <c r="C1548" s="3" t="str">
        <f>"TFC000001041"</f>
        <v>TFC000001041</v>
      </c>
      <c r="D1548" s="3" t="str">
        <f>"F800-20-1157-(AR 2.8)"</f>
        <v>F800-20-1157-(AR 2.8)</v>
      </c>
      <c r="E1548" s="3" t="str">
        <f>"Boomer's big day"</f>
        <v>Boomer's big day</v>
      </c>
      <c r="F1548" s="3" t="str">
        <f>"by Constance W. McGeorge ; illustrated by Mary Whyte"</f>
        <v>by Constance W. McGeorge ; illustrated by Mary Whyte</v>
      </c>
      <c r="G1548" s="3" t="str">
        <f>"Chronicle Books"</f>
        <v>Chronicle Books</v>
      </c>
      <c r="H1548" s="2" t="str">
        <f>"1994"</f>
        <v>1994</v>
      </c>
      <c r="I1548" s="3" t="str">
        <f>""</f>
        <v/>
      </c>
    </row>
    <row r="1549" spans="1:9" x14ac:dyDescent="0.3">
      <c r="A1549" s="2">
        <v>1548</v>
      </c>
      <c r="B1549" s="4" t="s">
        <v>29</v>
      </c>
      <c r="C1549" s="3" t="str">
        <f>"TFC000001042"</f>
        <v>TFC000001042</v>
      </c>
      <c r="D1549" s="3" t="str">
        <f>"F800-20-1158-(AR 2.8)"</f>
        <v>F800-20-1158-(AR 2.8)</v>
      </c>
      <c r="E1549" s="3" t="str">
        <f>"Little Bear and the Marco Polo"</f>
        <v>Little Bear and the Marco Polo</v>
      </c>
      <c r="F1549" s="3" t="str">
        <f>"by Else Holmelund Minarik ; pictures by Dorothy Doubleday"</f>
        <v>by Else Holmelund Minarik ; pictures by Dorothy Doubleday</v>
      </c>
      <c r="G1549" s="3" t="str">
        <f>"Harper:Two Ponds"</f>
        <v>Harper:Two Ponds</v>
      </c>
      <c r="H1549" s="2" t="str">
        <f>"2010"</f>
        <v>2010</v>
      </c>
      <c r="I1549" s="3" t="str">
        <f>""</f>
        <v/>
      </c>
    </row>
    <row r="1550" spans="1:9" x14ac:dyDescent="0.3">
      <c r="A1550" s="2">
        <v>1549</v>
      </c>
      <c r="B1550" s="4" t="s">
        <v>29</v>
      </c>
      <c r="C1550" s="3" t="str">
        <f>"TFC000001043"</f>
        <v>TFC000001043</v>
      </c>
      <c r="D1550" s="3" t="str">
        <f>"F800-20-1159-(AR 2.8)"</f>
        <v>F800-20-1159-(AR 2.8)</v>
      </c>
      <c r="E1550" s="3" t="str">
        <f>"Cars and trucks and things that go"</f>
        <v>Cars and trucks and things that go</v>
      </c>
      <c r="F1550" s="3" t="str">
        <f>"Richard Scarry"</f>
        <v>Richard Scarry</v>
      </c>
      <c r="G1550" s="3" t="str">
        <f>"HarperCollins Children's Books"</f>
        <v>HarperCollins Children's Books</v>
      </c>
      <c r="H1550" s="2" t="str">
        <f>"2010"</f>
        <v>2010</v>
      </c>
      <c r="I1550" s="3" t="str">
        <f>""</f>
        <v/>
      </c>
    </row>
    <row r="1551" spans="1:9" x14ac:dyDescent="0.3">
      <c r="A1551" s="2">
        <v>1550</v>
      </c>
      <c r="B1551" s="4" t="s">
        <v>29</v>
      </c>
      <c r="C1551" s="3" t="str">
        <f>"TFC000001044"</f>
        <v>TFC000001044</v>
      </c>
      <c r="D1551" s="3" t="str">
        <f>"F800-20-1160-(AR 2.8)"</f>
        <v>F800-20-1160-(AR 2.8)</v>
      </c>
      <c r="E1551" s="3" t="str">
        <f>"City mouse-country mouse and two more mouse tales from Aesop"</f>
        <v>City mouse-country mouse and two more mouse tales from Aesop</v>
      </c>
      <c r="F1551" s="3" t="str">
        <f>"pictures by John Wallner"</f>
        <v>pictures by John Wallner</v>
      </c>
      <c r="G1551" s="3" t="str">
        <f>"Scholastic"</f>
        <v>Scholastic</v>
      </c>
      <c r="H1551" s="2" t="str">
        <f>"1987"</f>
        <v>1987</v>
      </c>
      <c r="I1551" s="3" t="str">
        <f>""</f>
        <v/>
      </c>
    </row>
    <row r="1552" spans="1:9" x14ac:dyDescent="0.3">
      <c r="A1552" s="2">
        <v>1551</v>
      </c>
      <c r="B1552" s="4" t="s">
        <v>29</v>
      </c>
      <c r="C1552" s="3" t="str">
        <f>"TFC000001045"</f>
        <v>TFC000001045</v>
      </c>
      <c r="D1552" s="3" t="str">
        <f>"F800-20-1161-(AR 2.8)"</f>
        <v>F800-20-1161-(AR 2.8)</v>
      </c>
      <c r="E1552" s="3" t="str">
        <f>"(The)billy goats gruff"</f>
        <v>(The)billy goats gruff</v>
      </c>
      <c r="F1552" s="3" t="str">
        <f>"retold by Jane Bingham ; illustrated by Daniel Postgate"</f>
        <v>retold by Jane Bingham ; illustrated by Daniel Postgate</v>
      </c>
      <c r="G1552" s="3" t="str">
        <f>"Usborne"</f>
        <v>Usborne</v>
      </c>
      <c r="H1552" s="2" t="str">
        <f>"2004"</f>
        <v>2004</v>
      </c>
      <c r="I1552" s="3" t="str">
        <f>""</f>
        <v/>
      </c>
    </row>
    <row r="1553" spans="1:9" x14ac:dyDescent="0.3">
      <c r="A1553" s="2">
        <v>1552</v>
      </c>
      <c r="B1553" s="4" t="s">
        <v>29</v>
      </c>
      <c r="C1553" s="3" t="str">
        <f>"TFC000001046"</f>
        <v>TFC000001046</v>
      </c>
      <c r="D1553" s="3" t="str">
        <f>"F800-20-1162-(AR 2.8)"</f>
        <v>F800-20-1162-(AR 2.8)</v>
      </c>
      <c r="E1553" s="3" t="str">
        <f>"Cool zone"</f>
        <v>Cool zone</v>
      </c>
      <c r="F1553" s="3" t="str">
        <f>"Judy Blume ; illustrations by James Stevenson"</f>
        <v>Judy Blume ; illustrations by James Stevenson</v>
      </c>
      <c r="G1553" s="3" t="str">
        <f>"Yearling Book"</f>
        <v>Yearling Book</v>
      </c>
      <c r="H1553" s="2" t="str">
        <f>"2019"</f>
        <v>2019</v>
      </c>
      <c r="I1553" s="3" t="str">
        <f>""</f>
        <v/>
      </c>
    </row>
    <row r="1554" spans="1:9" x14ac:dyDescent="0.3">
      <c r="A1554" s="2">
        <v>1553</v>
      </c>
      <c r="B1554" s="4" t="s">
        <v>29</v>
      </c>
      <c r="C1554" s="3" t="str">
        <f>"TFC000001047"</f>
        <v>TFC000001047</v>
      </c>
      <c r="D1554" s="3" t="str">
        <f>"F800-20-1163-(AR 2.8)"</f>
        <v>F800-20-1163-(AR 2.8)</v>
      </c>
      <c r="E1554" s="3" t="str">
        <f>"Friend or fiend"</f>
        <v>Friend or fiend</v>
      </c>
      <c r="F1554" s="3" t="str">
        <f>"Judy Blume ; illustrations by James Stevenson"</f>
        <v>Judy Blume ; illustrations by James Stevenson</v>
      </c>
      <c r="G1554" s="3" t="str">
        <f>"Yearling Book"</f>
        <v>Yearling Book</v>
      </c>
      <c r="H1554" s="2" t="str">
        <f>"2009"</f>
        <v>2009</v>
      </c>
      <c r="I1554" s="3" t="str">
        <f>""</f>
        <v/>
      </c>
    </row>
    <row r="1555" spans="1:9" x14ac:dyDescent="0.3">
      <c r="A1555" s="2">
        <v>1554</v>
      </c>
      <c r="B1555" s="4" t="s">
        <v>29</v>
      </c>
      <c r="C1555" s="3" t="str">
        <f>"TFC000001048"</f>
        <v>TFC000001048</v>
      </c>
      <c r="D1555" s="3" t="str">
        <f>"F800-20-1164-(AR 2.8)"</f>
        <v>F800-20-1164-(AR 2.8)</v>
      </c>
      <c r="E1555" s="3" t="str">
        <f>"Soupy saturdays with the pain &amp; the great one"</f>
        <v>Soupy saturdays with the pain &amp; the great one</v>
      </c>
      <c r="F1555" s="3" t="str">
        <f>"by Judy Blume ; illustrations by James Stevenson"</f>
        <v>by Judy Blume ; illustrations by James Stevenson</v>
      </c>
      <c r="G1555" s="3" t="str">
        <f>"A Yearling Book"</f>
        <v>A Yearling Book</v>
      </c>
      <c r="H1555" s="2" t="str">
        <f>"2019"</f>
        <v>2019</v>
      </c>
      <c r="I1555" s="3" t="str">
        <f>""</f>
        <v/>
      </c>
    </row>
    <row r="1556" spans="1:9" x14ac:dyDescent="0.3">
      <c r="A1556" s="2">
        <v>1555</v>
      </c>
      <c r="B1556" s="4" t="s">
        <v>29</v>
      </c>
      <c r="C1556" s="3" t="str">
        <f>"TFC000001049"</f>
        <v>TFC000001049</v>
      </c>
      <c r="D1556" s="3" t="str">
        <f>"F800-20-1165-(AR 2.8)"</f>
        <v>F800-20-1165-(AR 2.8)</v>
      </c>
      <c r="E1556" s="3" t="str">
        <f>"But I am an alligator"</f>
        <v>But I am an alligator</v>
      </c>
      <c r="F1556" s="3" t="str">
        <f>"characters created by Lauren Child"</f>
        <v>characters created by Lauren Child</v>
      </c>
      <c r="G1556" s="3" t="str">
        <f>"Grosset &amp; Dunlap"</f>
        <v>Grosset &amp; Dunlap</v>
      </c>
      <c r="H1556" s="2" t="str">
        <f>"2008"</f>
        <v>2008</v>
      </c>
      <c r="I1556" s="3" t="str">
        <f>""</f>
        <v/>
      </c>
    </row>
    <row r="1557" spans="1:9" x14ac:dyDescent="0.3">
      <c r="A1557" s="2">
        <v>1556</v>
      </c>
      <c r="B1557" s="4" t="s">
        <v>29</v>
      </c>
      <c r="C1557" s="3" t="str">
        <f>"TFC000001050"</f>
        <v>TFC000001050</v>
      </c>
      <c r="D1557" s="3" t="str">
        <f>"F800-20-1166-(AR 2.8)"</f>
        <v>F800-20-1166-(AR 2.8)</v>
      </c>
      <c r="E1557" s="3" t="str">
        <f>"Gaston"</f>
        <v>Gaston</v>
      </c>
      <c r="F1557" s="3" t="str">
        <f>"words by Kelly DiPucchio, pictures by Christian Robinson"</f>
        <v>words by Kelly DiPucchio, pictures by Christian Robinson</v>
      </c>
      <c r="G1557" s="3" t="str">
        <f>"Atheneum Books for Young Readers"</f>
        <v>Atheneum Books for Young Readers</v>
      </c>
      <c r="H1557" s="2" t="str">
        <f>"2014"</f>
        <v>2014</v>
      </c>
      <c r="I1557" s="3" t="str">
        <f>""</f>
        <v/>
      </c>
    </row>
    <row r="1558" spans="1:9" x14ac:dyDescent="0.3">
      <c r="A1558" s="2">
        <v>1557</v>
      </c>
      <c r="B1558" s="4" t="s">
        <v>29</v>
      </c>
      <c r="C1558" s="3" t="str">
        <f>"TFC000001051"</f>
        <v>TFC000001051</v>
      </c>
      <c r="D1558" s="3" t="str">
        <f>"F800-20-1167-(AR 2.8)"</f>
        <v>F800-20-1167-(AR 2.8)</v>
      </c>
      <c r="E1558" s="3" t="str">
        <f>"Where's mommy?"</f>
        <v>Where's mommy?</v>
      </c>
      <c r="F1558" s="3" t="str">
        <f>"by Beverly Donofrio ; illustrations by Barbara McClintock"</f>
        <v>by Beverly Donofrio ; illustrations by Barbara McClintock</v>
      </c>
      <c r="G1558" s="3" t="str">
        <f>"Schwartz &amp; Wade Books"</f>
        <v>Schwartz &amp; Wade Books</v>
      </c>
      <c r="H1558" s="2" t="str">
        <f>"2014"</f>
        <v>2014</v>
      </c>
      <c r="I1558" s="3" t="str">
        <f>""</f>
        <v/>
      </c>
    </row>
    <row r="1559" spans="1:9" x14ac:dyDescent="0.3">
      <c r="A1559" s="2">
        <v>1558</v>
      </c>
      <c r="B1559" s="4" t="s">
        <v>29</v>
      </c>
      <c r="C1559" s="3" t="str">
        <f>"TFC000001052"</f>
        <v>TFC000001052</v>
      </c>
      <c r="D1559" s="3" t="str">
        <f>"F800-20-1168-(AR 2.8)"</f>
        <v>F800-20-1168-(AR 2.8)</v>
      </c>
      <c r="E1559" s="3" t="str">
        <f>"(The)wildwood bakery"</f>
        <v>(The)wildwood bakery</v>
      </c>
      <c r="F1559" s="3" t="str">
        <f>"Rebecca Elliott"</f>
        <v>Rebecca Elliott</v>
      </c>
      <c r="G1559" s="3" t="str">
        <f>"Scholastic"</f>
        <v>Scholastic</v>
      </c>
      <c r="H1559" s="2" t="str">
        <f>"2017"</f>
        <v>2017</v>
      </c>
      <c r="I1559" s="3" t="str">
        <f>""</f>
        <v/>
      </c>
    </row>
    <row r="1560" spans="1:9" x14ac:dyDescent="0.3">
      <c r="A1560" s="2">
        <v>1559</v>
      </c>
      <c r="B1560" s="4" t="s">
        <v>29</v>
      </c>
      <c r="C1560" s="3" t="str">
        <f>"TFC000001053"</f>
        <v>TFC000001053</v>
      </c>
      <c r="D1560" s="3" t="str">
        <f>"F800-20-1169-(AR 2.8)"</f>
        <v>F800-20-1169-(AR 2.8)</v>
      </c>
      <c r="E1560" s="3" t="str">
        <f>"(The)magic hat"</f>
        <v>(The)magic hat</v>
      </c>
      <c r="F1560" s="3" t="str">
        <f>"Written by Mem Fox ; illustrated by Tricia Tusa"</f>
        <v>Written by Mem Fox ; illustrated by Tricia Tusa</v>
      </c>
      <c r="G1560" s="3" t="str">
        <f>"Voyager Books"</f>
        <v>Voyager Books</v>
      </c>
      <c r="H1560" s="2" t="str">
        <f>"2006"</f>
        <v>2006</v>
      </c>
      <c r="I1560" s="3" t="str">
        <f>""</f>
        <v/>
      </c>
    </row>
    <row r="1561" spans="1:9" x14ac:dyDescent="0.3">
      <c r="A1561" s="2">
        <v>1560</v>
      </c>
      <c r="B1561" s="4" t="s">
        <v>29</v>
      </c>
      <c r="C1561" s="3" t="str">
        <f>"TFC000001054"</f>
        <v>TFC000001054</v>
      </c>
      <c r="D1561" s="3" t="str">
        <f>"F800-20-1170-(AR 2.8)"</f>
        <v>F800-20-1170-(AR 2.8)</v>
      </c>
      <c r="E1561" s="3" t="str">
        <f>"(The)day I swapped my dad for two goldfish"</f>
        <v>(The)day I swapped my dad for two goldfish</v>
      </c>
      <c r="F1561" s="3" t="str">
        <f>"words Neil Gaiman ; pictures Dave Mckean"</f>
        <v>words Neil Gaiman ; pictures Dave Mckean</v>
      </c>
      <c r="G1561" s="3" t="str">
        <f>"HarperTroph"</f>
        <v>HarperTroph</v>
      </c>
      <c r="H1561" s="2" t="str">
        <f>"2004"</f>
        <v>2004</v>
      </c>
      <c r="I1561" s="3" t="str">
        <f>""</f>
        <v/>
      </c>
    </row>
    <row r="1562" spans="1:9" x14ac:dyDescent="0.3">
      <c r="A1562" s="2">
        <v>1561</v>
      </c>
      <c r="B1562" s="4" t="s">
        <v>29</v>
      </c>
      <c r="C1562" s="3" t="str">
        <f>"TFC000001055"</f>
        <v>TFC000001055</v>
      </c>
      <c r="D1562" s="3" t="str">
        <f>"F800-20-1171-(AR 2.8)"</f>
        <v>F800-20-1171-(AR 2.8)</v>
      </c>
      <c r="E1562" s="3" t="str">
        <f>"Do not take your dragon on a field trip"</f>
        <v>Do not take your dragon on a field trip</v>
      </c>
      <c r="F1562" s="3" t="str">
        <f>"written by Julie Gassman ; illustrated by Andy Elkerton"</f>
        <v>written by Julie Gassman ; illustrated by Andy Elkerton</v>
      </c>
      <c r="G1562" s="3" t="str">
        <f>"Capstone Editions"</f>
        <v>Capstone Editions</v>
      </c>
      <c r="H1562" s="2" t="str">
        <f>"2019"</f>
        <v>2019</v>
      </c>
      <c r="I1562" s="3" t="str">
        <f>""</f>
        <v/>
      </c>
    </row>
    <row r="1563" spans="1:9" x14ac:dyDescent="0.3">
      <c r="A1563" s="2">
        <v>1562</v>
      </c>
      <c r="B1563" s="4" t="s">
        <v>29</v>
      </c>
      <c r="C1563" s="3" t="str">
        <f>"TFC000001056"</f>
        <v>TFC000001056</v>
      </c>
      <c r="D1563" s="3" t="str">
        <f>"F800-20-1172-(AR 2.8)"</f>
        <v>F800-20-1172-(AR 2.8)</v>
      </c>
      <c r="E1563" s="3" t="str">
        <f>"April and Esme, tooth fairies"</f>
        <v>April and Esme, tooth fairies</v>
      </c>
      <c r="F1563" s="3" t="str">
        <f>"Bob Graham"</f>
        <v>Bob Graham</v>
      </c>
      <c r="G1563" s="3" t="str">
        <f>"Candlewick Press"</f>
        <v>Candlewick Press</v>
      </c>
      <c r="H1563" s="2" t="str">
        <f>"2013"</f>
        <v>2013</v>
      </c>
      <c r="I1563" s="3" t="str">
        <f>""</f>
        <v/>
      </c>
    </row>
    <row r="1564" spans="1:9" x14ac:dyDescent="0.3">
      <c r="A1564" s="2">
        <v>1563</v>
      </c>
      <c r="B1564" s="4" t="s">
        <v>29</v>
      </c>
      <c r="C1564" s="3" t="str">
        <f>"TFC000001057"</f>
        <v>TFC000001057</v>
      </c>
      <c r="D1564" s="3" t="str">
        <f>"F800-20-1173-(AR 2.8)"</f>
        <v>F800-20-1173-(AR 2.8)</v>
      </c>
      <c r="E1564" s="3" t="str">
        <f>"Wow! said the owl"</f>
        <v>Wow! said the owl</v>
      </c>
      <c r="F1564" s="3" t="str">
        <f>"Tim Hopgood"</f>
        <v>Tim Hopgood</v>
      </c>
      <c r="G1564" s="3" t="str">
        <f>"Macmillan Children's Books"</f>
        <v>Macmillan Children's Books</v>
      </c>
      <c r="H1564" s="2" t="str">
        <f>"2010"</f>
        <v>2010</v>
      </c>
      <c r="I1564" s="3" t="str">
        <f>""</f>
        <v/>
      </c>
    </row>
    <row r="1565" spans="1:9" x14ac:dyDescent="0.3">
      <c r="A1565" s="2">
        <v>1564</v>
      </c>
      <c r="B1565" s="4" t="s">
        <v>29</v>
      </c>
      <c r="C1565" s="3" t="str">
        <f>"TFC000001058"</f>
        <v>TFC000001058</v>
      </c>
      <c r="D1565" s="3" t="str">
        <f>"F800-20-1174-(AR 2.8)"</f>
        <v>F800-20-1174-(AR 2.8)</v>
      </c>
      <c r="E1565" s="3" t="str">
        <f>"(The)golden acorn"</f>
        <v>(The)golden acorn</v>
      </c>
      <c r="F1565" s="3" t="str">
        <f>"Katy Hudson"</f>
        <v>Katy Hudson</v>
      </c>
      <c r="G1565" s="3" t="str">
        <f>"Capstone Editions"</f>
        <v>Capstone Editions</v>
      </c>
      <c r="H1565" s="2" t="str">
        <f>"2019"</f>
        <v>2019</v>
      </c>
      <c r="I1565" s="3" t="str">
        <f>""</f>
        <v/>
      </c>
    </row>
    <row r="1566" spans="1:9" x14ac:dyDescent="0.3">
      <c r="A1566" s="2">
        <v>1565</v>
      </c>
      <c r="B1566" s="4" t="s">
        <v>29</v>
      </c>
      <c r="C1566" s="3" t="str">
        <f>"TFC000001059"</f>
        <v>TFC000001059</v>
      </c>
      <c r="D1566" s="3" t="str">
        <f>"F800-20-1175-(AR 2.8)"</f>
        <v>F800-20-1175-(AR 2.8)</v>
      </c>
      <c r="E1566" s="3" t="str">
        <f>"Green island"</f>
        <v>Green island</v>
      </c>
      <c r="F1566" s="3" t="str">
        <f>"written by Roderick Hunt ; illustrated by Alex Brychta"</f>
        <v>written by Roderick Hunt ; illustrated by Alex Brychta</v>
      </c>
      <c r="G1566" s="3" t="str">
        <f>"Oxford University Press"</f>
        <v>Oxford University Press</v>
      </c>
      <c r="H1566" s="2" t="str">
        <f>"2011"</f>
        <v>2011</v>
      </c>
      <c r="I1566" s="3" t="str">
        <f>""</f>
        <v/>
      </c>
    </row>
    <row r="1567" spans="1:9" x14ac:dyDescent="0.3">
      <c r="A1567" s="2">
        <v>1566</v>
      </c>
      <c r="B1567" s="4" t="s">
        <v>29</v>
      </c>
      <c r="C1567" s="3" t="str">
        <f>"TFC000001061"</f>
        <v>TFC000001061</v>
      </c>
      <c r="D1567" s="3" t="str">
        <f>"F800-20-1177-(AR 2.8)"</f>
        <v>F800-20-1177-(AR 2.8)</v>
      </c>
      <c r="E1567" s="3" t="str">
        <f>"Library lion"</f>
        <v>Library lion</v>
      </c>
      <c r="F1567" s="3" t="str">
        <f>"Michelle Knudsen ; illustrated by Kevin Hawkes"</f>
        <v>Michelle Knudsen ; illustrated by Kevin Hawkes</v>
      </c>
      <c r="G1567" s="3" t="str">
        <f>"Candlewick Press"</f>
        <v>Candlewick Press</v>
      </c>
      <c r="H1567" s="2" t="str">
        <f>"2009"</f>
        <v>2009</v>
      </c>
      <c r="I1567" s="3" t="str">
        <f>""</f>
        <v/>
      </c>
    </row>
    <row r="1568" spans="1:9" x14ac:dyDescent="0.3">
      <c r="A1568" s="2">
        <v>1567</v>
      </c>
      <c r="B1568" s="4" t="s">
        <v>29</v>
      </c>
      <c r="C1568" s="3" t="str">
        <f>"TFC000001062"</f>
        <v>TFC000001062</v>
      </c>
      <c r="D1568" s="3" t="str">
        <f>"F800-20-1178-(AR 2.8)"</f>
        <v>F800-20-1178-(AR 2.8)</v>
      </c>
      <c r="E1568" s="3" t="str">
        <f>"Lunch lady and the summer camp shakedown"</f>
        <v>Lunch lady and the summer camp shakedown</v>
      </c>
      <c r="F1568" s="3" t="str">
        <f>"by Jarrett Krosoczka"</f>
        <v>by Jarrett Krosoczka</v>
      </c>
      <c r="G1568" s="3" t="str">
        <f>"Alfred A. Knopf"</f>
        <v>Alfred A. Knopf</v>
      </c>
      <c r="H1568" s="2" t="str">
        <f>"2010"</f>
        <v>2010</v>
      </c>
      <c r="I1568" s="3" t="str">
        <f>""</f>
        <v/>
      </c>
    </row>
    <row r="1569" spans="1:9" x14ac:dyDescent="0.3">
      <c r="A1569" s="2">
        <v>1568</v>
      </c>
      <c r="B1569" s="4" t="s">
        <v>29</v>
      </c>
      <c r="C1569" s="3" t="str">
        <f>"TFC000001063"</f>
        <v>TFC000001063</v>
      </c>
      <c r="D1569" s="3" t="str">
        <f>"F800-20-1179-(AR 2.8)"</f>
        <v>F800-20-1179-(AR 2.8)</v>
      </c>
      <c r="E1569" s="3" t="str">
        <f>"Lunch lady and the video game villain"</f>
        <v>Lunch lady and the video game villain</v>
      </c>
      <c r="F1569" s="3" t="str">
        <f>"by Jarrett Krosoczka"</f>
        <v>by Jarrett Krosoczka</v>
      </c>
      <c r="G1569" s="3" t="str">
        <f>"Alfred A. Knopf"</f>
        <v>Alfred A. Knopf</v>
      </c>
      <c r="H1569" s="2" t="str">
        <f>"2013"</f>
        <v>2013</v>
      </c>
      <c r="I1569" s="3" t="str">
        <f>""</f>
        <v/>
      </c>
    </row>
    <row r="1570" spans="1:9" x14ac:dyDescent="0.3">
      <c r="A1570" s="2">
        <v>1569</v>
      </c>
      <c r="B1570" s="4" t="s">
        <v>29</v>
      </c>
      <c r="C1570" s="3" t="str">
        <f>"TFC000001065"</f>
        <v>TFC000001065</v>
      </c>
      <c r="D1570" s="3" t="str">
        <f>"F800-20-1181-(AR 2.8)"</f>
        <v>F800-20-1181-(AR 2.8)</v>
      </c>
      <c r="E1570" s="3" t="str">
        <f>"Midnight on the moon"</f>
        <v>Midnight on the moon</v>
      </c>
      <c r="F1570" s="3" t="str">
        <f>"by Mary Pope Osborne ; illustrated by Sal Murdocca"</f>
        <v>by Mary Pope Osborne ; illustrated by Sal Murdocca</v>
      </c>
      <c r="G1570" s="3" t="str">
        <f>"Random House"</f>
        <v>Random House</v>
      </c>
      <c r="H1570" s="2" t="str">
        <f>"1996"</f>
        <v>1996</v>
      </c>
      <c r="I1570" s="3" t="str">
        <f>""</f>
        <v/>
      </c>
    </row>
    <row r="1571" spans="1:9" x14ac:dyDescent="0.3">
      <c r="A1571" s="2">
        <v>1570</v>
      </c>
      <c r="B1571" s="4" t="s">
        <v>29</v>
      </c>
      <c r="C1571" s="3" t="str">
        <f>"TFC000001067"</f>
        <v>TFC000001067</v>
      </c>
      <c r="D1571" s="3" t="str">
        <f>"F800-20-1183-(AR 2.8)"</f>
        <v>F800-20-1183-(AR 2.8)</v>
      </c>
      <c r="E1571" s="3" t="str">
        <f>"Junie B. Jones aloha-ha-ha!"</f>
        <v>Junie B. Jones aloha-ha-ha!</v>
      </c>
      <c r="F1571" s="3" t="str">
        <f>"Barbara Park ; illustrated by Denise Brunkus"</f>
        <v>Barbara Park ; illustrated by Denise Brunkus</v>
      </c>
      <c r="G1571" s="3" t="str">
        <f>"Random House"</f>
        <v>Random House</v>
      </c>
      <c r="H1571" s="2" t="str">
        <f>"2007"</f>
        <v>2007</v>
      </c>
      <c r="I1571" s="3" t="str">
        <f>""</f>
        <v/>
      </c>
    </row>
    <row r="1572" spans="1:9" x14ac:dyDescent="0.3">
      <c r="A1572" s="2">
        <v>1571</v>
      </c>
      <c r="B1572" s="4" t="s">
        <v>29</v>
      </c>
      <c r="C1572" s="3" t="str">
        <f>"TFC000003899"</f>
        <v>TFC000003899</v>
      </c>
      <c r="D1572" s="3" t="str">
        <f>"F800-21-0394-(AR 2.8)"</f>
        <v>F800-21-0394-(AR 2.8)</v>
      </c>
      <c r="E1572" s="3" t="str">
        <f>"Froggy's Lemonade Stand"</f>
        <v>Froggy's Lemonade Stand</v>
      </c>
      <c r="F1572" s="3" t="str">
        <f>"by Jonathan London, illustrated by Frank Remkiewicz."</f>
        <v>by Jonathan London, illustrated by Frank Remkiewicz.</v>
      </c>
      <c r="G1572" s="3" t="str">
        <f>"Puffin Books"</f>
        <v>Puffin Books</v>
      </c>
      <c r="H1572" s="2" t="str">
        <f>"2019"</f>
        <v>2019</v>
      </c>
      <c r="I1572" s="3" t="str">
        <f>""</f>
        <v/>
      </c>
    </row>
    <row r="1573" spans="1:9" x14ac:dyDescent="0.3">
      <c r="A1573" s="2">
        <v>1572</v>
      </c>
      <c r="B1573" s="4" t="s">
        <v>29</v>
      </c>
      <c r="C1573" s="3" t="str">
        <f>"TFC000001070"</f>
        <v>TFC000001070</v>
      </c>
      <c r="D1573" s="3" t="str">
        <f>"F800-20-1186-(AR 2.8)"</f>
        <v>F800-20-1186-(AR 2.8)</v>
      </c>
      <c r="E1573" s="3" t="str">
        <f>"(The)case of the smelly sneaker"</f>
        <v>(The)case of the smelly sneaker</v>
      </c>
      <c r="F1573" s="3" t="str">
        <f>"by James Preller ; illustrated by Jamie Smith"</f>
        <v>by James Preller ; illustrated by Jamie Smith</v>
      </c>
      <c r="G1573" s="3" t="str">
        <f>"Feiwel and Friends"</f>
        <v>Feiwel and Friends</v>
      </c>
      <c r="H1573" s="2" t="str">
        <f>"2017"</f>
        <v>2017</v>
      </c>
      <c r="I1573" s="3" t="str">
        <f>""</f>
        <v/>
      </c>
    </row>
    <row r="1574" spans="1:9" x14ac:dyDescent="0.3">
      <c r="A1574" s="2">
        <v>1573</v>
      </c>
      <c r="B1574" s="4" t="s">
        <v>29</v>
      </c>
      <c r="C1574" s="3" t="str">
        <f>"TFC000001074"</f>
        <v>TFC000001074</v>
      </c>
      <c r="D1574" s="3" t="str">
        <f>"F800-20-1189-(AR 2.8)"</f>
        <v>F800-20-1189-(AR 2.8)</v>
      </c>
      <c r="E1574" s="3" t="str">
        <f>"Creepy pair of underwear!"</f>
        <v>Creepy pair of underwear!</v>
      </c>
      <c r="F1574" s="3" t="str">
        <f>"words by Aaron Reynolds ; pictures by Peter Brown"</f>
        <v>words by Aaron Reynolds ; pictures by Peter Brown</v>
      </c>
      <c r="G1574" s="3" t="str">
        <f>"Simon &amp; Schuster Books for Young Readers"</f>
        <v>Simon &amp; Schuster Books for Young Readers</v>
      </c>
      <c r="H1574" s="2" t="str">
        <f>"2017"</f>
        <v>2017</v>
      </c>
      <c r="I1574" s="3" t="str">
        <f>""</f>
        <v/>
      </c>
    </row>
    <row r="1575" spans="1:9" x14ac:dyDescent="0.3">
      <c r="A1575" s="2">
        <v>1574</v>
      </c>
      <c r="B1575" s="4" t="s">
        <v>29</v>
      </c>
      <c r="C1575" s="3" t="str">
        <f>"TFC000001075"</f>
        <v>TFC000001075</v>
      </c>
      <c r="D1575" s="3" t="str">
        <f>"F800-20-1190-(AR 2.8)"</f>
        <v>F800-20-1190-(AR 2.8)</v>
      </c>
      <c r="E1575" s="3" t="str">
        <f>"Career day"</f>
        <v>Career day</v>
      </c>
      <c r="F1575" s="3" t="str">
        <f>"story by Anne Rockwell ; pictures by Lizzy Rockwell"</f>
        <v>story by Anne Rockwell ; pictures by Lizzy Rockwell</v>
      </c>
      <c r="G1575" s="3" t="str">
        <f>"SRA/McGraw-Hill"</f>
        <v>SRA/McGraw-Hill</v>
      </c>
      <c r="H1575" s="2" t="str">
        <f>"2000"</f>
        <v>2000</v>
      </c>
      <c r="I1575" s="3" t="str">
        <f>""</f>
        <v/>
      </c>
    </row>
    <row r="1576" spans="1:9" x14ac:dyDescent="0.3">
      <c r="A1576" s="2">
        <v>1575</v>
      </c>
      <c r="B1576" s="4" t="s">
        <v>29</v>
      </c>
      <c r="C1576" s="3" t="str">
        <f>"TFC000001076"</f>
        <v>TFC000001076</v>
      </c>
      <c r="D1576" s="3" t="str">
        <f>"F800-20-1191-(AR 2.8)"</f>
        <v>F800-20-1191-(AR 2.8)</v>
      </c>
      <c r="E1576" s="3" t="str">
        <f>"(A)gift from abuela"</f>
        <v>(A)gift from abuela</v>
      </c>
      <c r="F1576" s="3" t="str">
        <f>"Cecilia Ruiz"</f>
        <v>Cecilia Ruiz</v>
      </c>
      <c r="G1576" s="3" t="str">
        <f>"Candlewick Press"</f>
        <v>Candlewick Press</v>
      </c>
      <c r="H1576" s="2" t="str">
        <f>"2018"</f>
        <v>2018</v>
      </c>
      <c r="I1576" s="3" t="str">
        <f>""</f>
        <v/>
      </c>
    </row>
    <row r="1577" spans="1:9" x14ac:dyDescent="0.3">
      <c r="A1577" s="2">
        <v>1576</v>
      </c>
      <c r="B1577" s="4" t="s">
        <v>29</v>
      </c>
      <c r="C1577" s="3" t="str">
        <f>"TFC000001077"</f>
        <v>TFC000001077</v>
      </c>
      <c r="D1577" s="3" t="str">
        <f>"F800-20-1192-(AR 2.8)"</f>
        <v>F800-20-1192-(AR 2.8)</v>
      </c>
      <c r="E1577" s="3" t="str">
        <f>"Henry and Mudge in the sparkle days : the fifth book of their adventures"</f>
        <v>Henry and Mudge in the sparkle days : the fifth book of their adventures</v>
      </c>
      <c r="F1577" s="3" t="str">
        <f>"story by Cynthia Rylant ; pictures by Suc?ie Stevenson"</f>
        <v>story by Cynthia Rylant ; pictures by Suc?ie Stevenson</v>
      </c>
      <c r="G1577" s="3" t="str">
        <f>"Simon Spotlight"</f>
        <v>Simon Spotlight</v>
      </c>
      <c r="H1577" s="2" t="str">
        <f>"1993"</f>
        <v>1993</v>
      </c>
      <c r="I1577" s="3" t="str">
        <f>""</f>
        <v/>
      </c>
    </row>
    <row r="1578" spans="1:9" x14ac:dyDescent="0.3">
      <c r="A1578" s="2">
        <v>1577</v>
      </c>
      <c r="B1578" s="4" t="s">
        <v>29</v>
      </c>
      <c r="C1578" s="3" t="str">
        <f>"TFC000001083"</f>
        <v>TFC000001083</v>
      </c>
      <c r="D1578" s="3" t="str">
        <f>"F800-20-1198-(AR 2.8)"</f>
        <v>F800-20-1198-(AR 2.8)</v>
      </c>
      <c r="E1578" s="3" t="str">
        <f>"Kinnapped at birth?"</f>
        <v>Kinnapped at birth?</v>
      </c>
      <c r="F1578" s="3" t="str">
        <f>"by Louis Sachar ; illustrated by Neal Hughes"</f>
        <v>by Louis Sachar ; illustrated by Neal Hughes</v>
      </c>
      <c r="G1578" s="3" t="str">
        <f>"Random House"</f>
        <v>Random House</v>
      </c>
      <c r="H1578" s="2" t="str">
        <f>"2015"</f>
        <v>2015</v>
      </c>
      <c r="I1578" s="3" t="str">
        <f>""</f>
        <v/>
      </c>
    </row>
    <row r="1579" spans="1:9" x14ac:dyDescent="0.3">
      <c r="A1579" s="2">
        <v>1578</v>
      </c>
      <c r="B1579" s="4" t="s">
        <v>29</v>
      </c>
      <c r="C1579" s="3" t="str">
        <f>"TFC000001085"</f>
        <v>TFC000001085</v>
      </c>
      <c r="D1579" s="3" t="str">
        <f>"F800-20-1200-(AR 2.8)"</f>
        <v>F800-20-1200-(AR 2.8)</v>
      </c>
      <c r="E1579" s="3" t="str">
        <f>"Alice, secret agent of wonderland : a graphic novel"</f>
        <v>Alice, secret agent of wonderland : a graphic novel</v>
      </c>
      <c r="F1579" s="3" t="str">
        <f>"by Katie Schenkel ; illustrated by Fern Cano"</f>
        <v>by Katie Schenkel ; illustrated by Fern Cano</v>
      </c>
      <c r="G1579" s="3" t="str">
        <f>"Stone Arch Books"</f>
        <v>Stone Arch Books</v>
      </c>
      <c r="H1579" s="2" t="str">
        <f>"2020"</f>
        <v>2020</v>
      </c>
      <c r="I1579" s="3" t="str">
        <f>""</f>
        <v/>
      </c>
    </row>
    <row r="1580" spans="1:9" x14ac:dyDescent="0.3">
      <c r="A1580" s="2">
        <v>1579</v>
      </c>
      <c r="B1580" s="4" t="s">
        <v>29</v>
      </c>
      <c r="C1580" s="3" t="str">
        <f>"TFC000001086"</f>
        <v>TFC000001086</v>
      </c>
      <c r="D1580" s="3" t="str">
        <f>"F800-20-1201-(AR 2.8)"</f>
        <v>F800-20-1201-(AR 2.8)</v>
      </c>
      <c r="E1580" s="3" t="str">
        <f>"(The)silver spurs of Oz : a graphic novel"</f>
        <v>(The)silver spurs of Oz : a graphic novel</v>
      </c>
      <c r="F1580" s="3" t="str">
        <f>"by Erica Schultz ; illustrated by Omar Lozano"</f>
        <v>by Erica Schultz ; illustrated by Omar Lozano</v>
      </c>
      <c r="G1580" s="3" t="str">
        <f>"Stone Arch Books"</f>
        <v>Stone Arch Books</v>
      </c>
      <c r="H1580" s="2" t="str">
        <f>"2020"</f>
        <v>2020</v>
      </c>
      <c r="I1580" s="3" t="str">
        <f>""</f>
        <v/>
      </c>
    </row>
    <row r="1581" spans="1:9" x14ac:dyDescent="0.3">
      <c r="A1581" s="2">
        <v>1580</v>
      </c>
      <c r="B1581" s="4" t="s">
        <v>29</v>
      </c>
      <c r="C1581" s="3" t="str">
        <f>"TFC000001087"</f>
        <v>TFC000001087</v>
      </c>
      <c r="D1581" s="3" t="str">
        <f>"F800-20-1202-(AR 2.8)"</f>
        <v>F800-20-1202-(AR 2.8)</v>
      </c>
      <c r="E1581" s="3" t="str">
        <f>"Robot Zot!"</f>
        <v>Robot Zot!</v>
      </c>
      <c r="F1581" s="3" t="str">
        <f>"Jon Scieszka ; illustrated by David Shannon"</f>
        <v>Jon Scieszka ; illustrated by David Shannon</v>
      </c>
      <c r="G1581" s="3" t="str">
        <f>"Simon &amp; Schuster Books for Young Readers"</f>
        <v>Simon &amp; Schuster Books for Young Readers</v>
      </c>
      <c r="H1581" s="2" t="str">
        <f>"2009"</f>
        <v>2009</v>
      </c>
      <c r="I1581" s="3" t="str">
        <f>""</f>
        <v/>
      </c>
    </row>
    <row r="1582" spans="1:9" x14ac:dyDescent="0.3">
      <c r="A1582" s="2">
        <v>1581</v>
      </c>
      <c r="B1582" s="4" t="s">
        <v>29</v>
      </c>
      <c r="C1582" s="3" t="str">
        <f>"TFC000001089"</f>
        <v>TFC000001089</v>
      </c>
      <c r="D1582" s="3" t="str">
        <f>"F800-20-1204-(AR 2.8)"</f>
        <v>F800-20-1204-(AR 2.8)</v>
      </c>
      <c r="E1582" s="3" t="str">
        <f>"(The)man with the violin"</f>
        <v>(The)man with the violin</v>
      </c>
      <c r="F1582" s="3" t="str">
        <f>"by Kathy Stinson ; illustrated by Du?an Petri?i?"</f>
        <v>by Kathy Stinson ; illustrated by Du?an Petri?i?</v>
      </c>
      <c r="G1582" s="3" t="str">
        <f>"Annick Press"</f>
        <v>Annick Press</v>
      </c>
      <c r="H1582" s="2" t="str">
        <f>"2016"</f>
        <v>2016</v>
      </c>
      <c r="I1582" s="3" t="str">
        <f>""</f>
        <v/>
      </c>
    </row>
    <row r="1583" spans="1:9" x14ac:dyDescent="0.3">
      <c r="A1583" s="2">
        <v>1582</v>
      </c>
      <c r="B1583" s="4" t="s">
        <v>29</v>
      </c>
      <c r="C1583" s="3" t="str">
        <f>"TFC000001090"</f>
        <v>TFC000001090</v>
      </c>
      <c r="D1583" s="3" t="str">
        <f>"F800-20-1205-(AR 2.8)"</f>
        <v>F800-20-1205-(AR 2.8)</v>
      </c>
      <c r="E1583" s="3" t="str">
        <f>"It's all about me-ow : a young cat's guide to the good life"</f>
        <v>It's all about me-ow : a young cat's guide to the good life</v>
      </c>
      <c r="F1583" s="3" t="str">
        <f>"written and illustrated by Hudson Talbott"</f>
        <v>written and illustrated by Hudson Talbott</v>
      </c>
      <c r="G1583" s="3" t="str">
        <f>"Nancy Paulsen Books"</f>
        <v>Nancy Paulsen Books</v>
      </c>
      <c r="H1583" s="2" t="str">
        <f>"2012"</f>
        <v>2012</v>
      </c>
      <c r="I1583" s="3" t="str">
        <f>""</f>
        <v/>
      </c>
    </row>
    <row r="1584" spans="1:9" x14ac:dyDescent="0.3">
      <c r="A1584" s="2">
        <v>1583</v>
      </c>
      <c r="B1584" s="4" t="s">
        <v>29</v>
      </c>
      <c r="C1584" s="3" t="str">
        <f>"TFC000001091"</f>
        <v>TFC000001091</v>
      </c>
      <c r="D1584" s="3" t="str">
        <f>"F800-20-1206-(AR 2.8)"</f>
        <v>F800-20-1206-(AR 2.8)</v>
      </c>
      <c r="E1584" s="3" t="str">
        <f>"How I spent my summer vacation"</f>
        <v>How I spent my summer vacation</v>
      </c>
      <c r="F1584" s="3" t="str">
        <f>"written and illustrated by Mark Teague"</f>
        <v>written and illustrated by Mark Teague</v>
      </c>
      <c r="G1584" s="3" t="str">
        <f>"Crown Publishers"</f>
        <v>Crown Publishers</v>
      </c>
      <c r="H1584" s="2" t="str">
        <f>"1995"</f>
        <v>1995</v>
      </c>
      <c r="I1584" s="3" t="str">
        <f>""</f>
        <v/>
      </c>
    </row>
    <row r="1585" spans="1:9" x14ac:dyDescent="0.3">
      <c r="A1585" s="2">
        <v>1584</v>
      </c>
      <c r="B1585" s="4" t="s">
        <v>29</v>
      </c>
      <c r="C1585" s="3" t="str">
        <f>"TFC000001092"</f>
        <v>TFC000001092</v>
      </c>
      <c r="D1585" s="3" t="str">
        <f>"F800-20-1207-(AR 2.8)"</f>
        <v>F800-20-1207-(AR 2.8)</v>
      </c>
      <c r="E1585" s="3" t="str">
        <f>"Sometimes I'm bombaloo"</f>
        <v>Sometimes I'm bombaloo</v>
      </c>
      <c r="F1585" s="3" t="str">
        <f>"by Rachel Vail ; illustrated by Yumi Heo"</f>
        <v>by Rachel Vail ; illustrated by Yumi Heo</v>
      </c>
      <c r="G1585" s="3" t="str">
        <f>"Scholastic"</f>
        <v>Scholastic</v>
      </c>
      <c r="H1585" s="2" t="str">
        <f>"2005"</f>
        <v>2005</v>
      </c>
      <c r="I1585" s="3" t="str">
        <f>""</f>
        <v/>
      </c>
    </row>
    <row r="1586" spans="1:9" x14ac:dyDescent="0.3">
      <c r="A1586" s="2">
        <v>1585</v>
      </c>
      <c r="B1586" s="4" t="s">
        <v>29</v>
      </c>
      <c r="C1586" s="3" t="str">
        <f>"TFC000001093"</f>
        <v>TFC000001093</v>
      </c>
      <c r="D1586" s="3" t="str">
        <f>"F800-20-1208-(AR 2.8)"</f>
        <v>F800-20-1208-(AR 2.8)</v>
      </c>
      <c r="E1586" s="3" t="str">
        <f>"How to catch a unicorn"</f>
        <v>How to catch a unicorn</v>
      </c>
      <c r="F1586" s="3" t="str">
        <f>"written by Adam Wallace ; illustrated by Andy Elkerton"</f>
        <v>written by Adam Wallace ; illustrated by Andy Elkerton</v>
      </c>
      <c r="G1586" s="3" t="str">
        <f>"Sourcebooks Wonderland"</f>
        <v>Sourcebooks Wonderland</v>
      </c>
      <c r="H1586" s="2" t="str">
        <f>"2019"</f>
        <v>2019</v>
      </c>
      <c r="I1586" s="3" t="str">
        <f>""</f>
        <v/>
      </c>
    </row>
    <row r="1587" spans="1:9" x14ac:dyDescent="0.3">
      <c r="A1587" s="2">
        <v>1586</v>
      </c>
      <c r="B1587" s="4" t="s">
        <v>29</v>
      </c>
      <c r="C1587" s="3" t="str">
        <f>"TFC000001094"</f>
        <v>TFC000001094</v>
      </c>
      <c r="D1587" s="3" t="str">
        <f>"F800-20-1209-(AR 2.8)"</f>
        <v>F800-20-1209-(AR 2.8)</v>
      </c>
      <c r="E1587" s="3" t="str">
        <f>"Oscar and the frog : a book about growing"</f>
        <v>Oscar and the frog : a book about growing</v>
      </c>
      <c r="F1587" s="3" t="str">
        <f>"Geoff Waring"</f>
        <v>Geoff Waring</v>
      </c>
      <c r="G1587" s="3" t="str">
        <f>"Candlewick Press"</f>
        <v>Candlewick Press</v>
      </c>
      <c r="H1587" s="2" t="str">
        <f>"2008"</f>
        <v>2008</v>
      </c>
      <c r="I1587" s="3" t="str">
        <f>""</f>
        <v/>
      </c>
    </row>
    <row r="1588" spans="1:9" x14ac:dyDescent="0.3">
      <c r="A1588" s="2">
        <v>1587</v>
      </c>
      <c r="B1588" s="4" t="s">
        <v>29</v>
      </c>
      <c r="C1588" s="3" t="str">
        <f>"TFC000001095"</f>
        <v>TFC000001095</v>
      </c>
      <c r="D1588" s="3" t="str">
        <f>"F900-20-1223-(AR 2.8)"</f>
        <v>F900-20-1223-(AR 2.8)</v>
      </c>
      <c r="E1588" s="3" t="str">
        <f>"By my brother's side"</f>
        <v>By my brother's side</v>
      </c>
      <c r="F1588" s="3" t="str">
        <f>"Tiki Barber ; Ronde Barber ; Robert Burleigh ; illustrated by Barry Root"</f>
        <v>Tiki Barber ; Ronde Barber ; Robert Burleigh ; illustrated by Barry Root</v>
      </c>
      <c r="G1588" s="3" t="str">
        <f>"Simon &amp; Schuster Books for Young Readers"</f>
        <v>Simon &amp; Schuster Books for Young Readers</v>
      </c>
      <c r="H1588" s="2" t="str">
        <f>"2004"</f>
        <v>2004</v>
      </c>
      <c r="I1588" s="3" t="str">
        <f>""</f>
        <v/>
      </c>
    </row>
    <row r="1589" spans="1:9" x14ac:dyDescent="0.3">
      <c r="A1589" s="2">
        <v>1588</v>
      </c>
      <c r="B1589" s="4" t="s">
        <v>29</v>
      </c>
      <c r="C1589" s="3" t="str">
        <f>"TFC000003208"</f>
        <v>TFC000003208</v>
      </c>
      <c r="D1589" s="3" t="str">
        <f>"F800-21-0365-(AR 2.8)"</f>
        <v>F800-21-0365-(AR 2.8)</v>
      </c>
      <c r="E1589" s="3" t="str">
        <f>"Young Cam Jansen and the pizza shop mystery"</f>
        <v>Young Cam Jansen and the pizza shop mystery</v>
      </c>
      <c r="F1589" s="3" t="str">
        <f>"by David A. Adler ; illustrated by Susanna Natti"</f>
        <v>by David A. Adler ; illustrated by Susanna Natti</v>
      </c>
      <c r="G1589" s="3" t="str">
        <f>"Puffin young readers"</f>
        <v>Puffin young readers</v>
      </c>
      <c r="H1589" s="2" t="str">
        <f>"2012"</f>
        <v>2012</v>
      </c>
      <c r="I1589" s="3" t="str">
        <f>""</f>
        <v/>
      </c>
    </row>
    <row r="1590" spans="1:9" x14ac:dyDescent="0.3">
      <c r="A1590" s="2">
        <v>1589</v>
      </c>
      <c r="B1590" s="4" t="s">
        <v>29</v>
      </c>
      <c r="C1590" s="3" t="str">
        <f>"TFC000002854"</f>
        <v>TFC000002854</v>
      </c>
      <c r="D1590" s="3" t="str">
        <f>"F800-20-1211-(AR 2.8)"</f>
        <v>F800-20-1211-(AR 2.8)</v>
      </c>
      <c r="E1590" s="3" t="str">
        <f>"Animal tracks"</f>
        <v>Animal tracks</v>
      </c>
      <c r="F1590" s="3" t="str">
        <f>"written and illustrated by Arthur Dorros"</f>
        <v>written and illustrated by Arthur Dorros</v>
      </c>
      <c r="G1590" s="3" t="str">
        <f>"Scholastic"</f>
        <v>Scholastic</v>
      </c>
      <c r="H1590" s="2" t="str">
        <f>"1991"</f>
        <v>1991</v>
      </c>
      <c r="I1590" s="3" t="str">
        <f>""</f>
        <v/>
      </c>
    </row>
    <row r="1591" spans="1:9" x14ac:dyDescent="0.3">
      <c r="A1591" s="2">
        <v>1590</v>
      </c>
      <c r="B1591" s="4" t="s">
        <v>29</v>
      </c>
      <c r="C1591" s="3" t="str">
        <f>"TFC000002855"</f>
        <v>TFC000002855</v>
      </c>
      <c r="D1591" s="3" t="str">
        <f>"F800-20-1212-(AR 2.8)"</f>
        <v>F800-20-1212-(AR 2.8)</v>
      </c>
      <c r="E1591" s="3" t="str">
        <f>"Bear shadow"</f>
        <v>Bear shadow</v>
      </c>
      <c r="F1591" s="3" t="str">
        <f>"Frank Asch"</f>
        <v>Frank Asch</v>
      </c>
      <c r="G1591" s="3" t="str">
        <f>"Scholastic"</f>
        <v>Scholastic</v>
      </c>
      <c r="H1591" s="2" t="str">
        <f>"1990"</f>
        <v>1990</v>
      </c>
      <c r="I1591" s="3" t="str">
        <f>""</f>
        <v/>
      </c>
    </row>
    <row r="1592" spans="1:9" x14ac:dyDescent="0.3">
      <c r="A1592" s="2">
        <v>1591</v>
      </c>
      <c r="B1592" s="4" t="s">
        <v>29</v>
      </c>
      <c r="C1592" s="3" t="str">
        <f>"TFC000002856"</f>
        <v>TFC000002856</v>
      </c>
      <c r="D1592" s="3" t="str">
        <f>"F800-20-1213-(AR 2.8)"</f>
        <v>F800-20-1213-(AR 2.8)</v>
      </c>
      <c r="E1592" s="3" t="str">
        <f>"Bigmama's"</f>
        <v>Bigmama's</v>
      </c>
      <c r="F1592" s="3" t="str">
        <f>"Donald Crews"</f>
        <v>Donald Crews</v>
      </c>
      <c r="G1592" s="3" t="str">
        <f>"Scholastic"</f>
        <v>Scholastic</v>
      </c>
      <c r="H1592" s="2" t="str">
        <f>"1991"</f>
        <v>1991</v>
      </c>
      <c r="I1592" s="3" t="str">
        <f>""</f>
        <v/>
      </c>
    </row>
    <row r="1593" spans="1:9" x14ac:dyDescent="0.3">
      <c r="A1593" s="2">
        <v>1592</v>
      </c>
      <c r="B1593" s="4" t="s">
        <v>29</v>
      </c>
      <c r="C1593" s="3" t="str">
        <f>"TFC000002857"</f>
        <v>TFC000002857</v>
      </c>
      <c r="D1593" s="3" t="str">
        <f>"F800-20-1214-(AR 2.8)"</f>
        <v>F800-20-1214-(AR 2.8)</v>
      </c>
      <c r="E1593" s="3" t="str">
        <f>"Bunjitsu Bunny vs. Bunjitsu Bunny"</f>
        <v>Bunjitsu Bunny vs. Bunjitsu Bunny</v>
      </c>
      <c r="F1593" s="3" t="str">
        <f>"written and illustrated by John Himmelman"</f>
        <v>written and illustrated by John Himmelman</v>
      </c>
      <c r="G1593" s="3" t="str">
        <f>"Square Fish"</f>
        <v>Square Fish</v>
      </c>
      <c r="H1593" s="2" t="str">
        <f>"2016"</f>
        <v>2016</v>
      </c>
      <c r="I1593" s="3" t="str">
        <f>""</f>
        <v/>
      </c>
    </row>
    <row r="1594" spans="1:9" x14ac:dyDescent="0.3">
      <c r="A1594" s="2">
        <v>1593</v>
      </c>
      <c r="B1594" s="4" t="s">
        <v>29</v>
      </c>
      <c r="C1594" s="3" t="str">
        <f>"TFC000002858"</f>
        <v>TFC000002858</v>
      </c>
      <c r="D1594" s="3" t="str">
        <f>"F800-20-1215-(AR 2.8)"</f>
        <v>F800-20-1215-(AR 2.8)</v>
      </c>
      <c r="E1594" s="3" t="str">
        <f>"Pezzettino"</f>
        <v>Pezzettino</v>
      </c>
      <c r="F1594" s="3" t="str">
        <f>"Leo Lionni"</f>
        <v>Leo Lionni</v>
      </c>
      <c r="G1594" s="3" t="str">
        <f>"Dragonfly Books"</f>
        <v>Dragonfly Books</v>
      </c>
      <c r="H1594" s="2" t="str">
        <f>"1975"</f>
        <v>1975</v>
      </c>
      <c r="I1594" s="3" t="str">
        <f>""</f>
        <v/>
      </c>
    </row>
    <row r="1595" spans="1:9" x14ac:dyDescent="0.3">
      <c r="A1595" s="2">
        <v>1594</v>
      </c>
      <c r="B1595" s="4" t="s">
        <v>29</v>
      </c>
      <c r="C1595" s="3" t="str">
        <f>"TFC000002859"</f>
        <v>TFC000002859</v>
      </c>
      <c r="D1595" s="3" t="str">
        <f>"F500-20-1140-(AR 2.8)"</f>
        <v>F500-20-1140-(AR 2.8)</v>
      </c>
      <c r="E1595" s="3" t="str">
        <f>"Under the ground"</f>
        <v>Under the ground</v>
      </c>
      <c r="F1595" s="3" t="str">
        <f>"Henry Pluckrose"</f>
        <v>Henry Pluckrose</v>
      </c>
      <c r="G1595" s="3" t="str">
        <f>"Franklin Watts"</f>
        <v>Franklin Watts</v>
      </c>
      <c r="H1595" s="2" t="str">
        <f>"1998"</f>
        <v>1998</v>
      </c>
      <c r="I1595" s="3" t="str">
        <f>""</f>
        <v/>
      </c>
    </row>
    <row r="1596" spans="1:9" x14ac:dyDescent="0.3">
      <c r="A1596" s="2">
        <v>1595</v>
      </c>
      <c r="B1596" s="4" t="s">
        <v>29</v>
      </c>
      <c r="C1596" s="3" t="str">
        <f>"TFC000002949"</f>
        <v>TFC000002949</v>
      </c>
      <c r="D1596" s="3" t="str">
        <f>"F800-20-1216-(AR 2.8)"</f>
        <v>F800-20-1216-(AR 2.8)</v>
      </c>
      <c r="E1596" s="3" t="str">
        <f>"Finders keepers"</f>
        <v>Finders keepers</v>
      </c>
      <c r="F1596" s="3" t="str">
        <f>"by Will Lipkind, Nicolas Mordvinoff"</f>
        <v>by Will Lipkind, Nicolas Mordvinoff</v>
      </c>
      <c r="G1596" s="3" t="str">
        <f>"Vayager Books"</f>
        <v>Vayager Books</v>
      </c>
      <c r="H1596" s="2" t="str">
        <f>"1989"</f>
        <v>1989</v>
      </c>
      <c r="I1596" s="3" t="str">
        <f>""</f>
        <v/>
      </c>
    </row>
    <row r="1597" spans="1:9" x14ac:dyDescent="0.3">
      <c r="A1597" s="2">
        <v>1596</v>
      </c>
      <c r="B1597" s="4" t="s">
        <v>29</v>
      </c>
      <c r="C1597" s="3" t="str">
        <f>"TFC000002951"</f>
        <v>TFC000002951</v>
      </c>
      <c r="D1597" s="3" t="str">
        <f>"F400-20-1138-(AR 2.8)"</f>
        <v>F400-20-1138-(AR 2.8)</v>
      </c>
      <c r="E1597" s="3" t="str">
        <f>"How kittens grow"</f>
        <v>How kittens grow</v>
      </c>
      <c r="F1597" s="3" t="str">
        <f>"by Millicent E. Selsam ; photographs by Neil Johnson"</f>
        <v>by Millicent E. Selsam ; photographs by Neil Johnson</v>
      </c>
      <c r="G1597" s="3" t="str">
        <f>"Scholastic"</f>
        <v>Scholastic</v>
      </c>
      <c r="H1597" s="2" t="str">
        <f>"1992"</f>
        <v>1992</v>
      </c>
      <c r="I1597" s="3" t="str">
        <f>""</f>
        <v/>
      </c>
    </row>
    <row r="1598" spans="1:9" x14ac:dyDescent="0.3">
      <c r="A1598" s="2">
        <v>1597</v>
      </c>
      <c r="B1598" s="4" t="s">
        <v>29</v>
      </c>
      <c r="C1598" s="3" t="str">
        <f>"TFC000002978"</f>
        <v>TFC000002978</v>
      </c>
      <c r="D1598" s="3" t="str">
        <f>"F800-20-1218-(AR 2.8)"</f>
        <v>F800-20-1218-(AR 2.8)</v>
      </c>
      <c r="E1598" s="3" t="str">
        <f>"Johnny Slimeseed and the freaky forest : a graphic novel"</f>
        <v>Johnny Slimeseed and the freaky forest : a graphic novel</v>
      </c>
      <c r="F1598" s="3" t="str">
        <f>"Stephanie True Peters ; illustrated by Berenice Muniz"</f>
        <v>Stephanie True Peters ; illustrated by Berenice Muniz</v>
      </c>
      <c r="G1598" s="3" t="str">
        <f>"Stone Arch Books"</f>
        <v>Stone Arch Books</v>
      </c>
      <c r="H1598" s="2" t="str">
        <f>"2019"</f>
        <v>2019</v>
      </c>
      <c r="I1598" s="3" t="str">
        <f>""</f>
        <v/>
      </c>
    </row>
    <row r="1599" spans="1:9" x14ac:dyDescent="0.3">
      <c r="A1599" s="2">
        <v>1598</v>
      </c>
      <c r="B1599" s="4" t="s">
        <v>29</v>
      </c>
      <c r="C1599" s="3" t="str">
        <f>"TFC000002980"</f>
        <v>TFC000002980</v>
      </c>
      <c r="D1599" s="3" t="str">
        <f>"F800-20-1219-(AR 2.8)"</f>
        <v>F800-20-1219-(AR 2.8)</v>
      </c>
      <c r="E1599" s="3" t="str">
        <f>"Rapunzel vs. Frankenstein : a graphic novel"</f>
        <v>Rapunzel vs. Frankenstein : a graphic novel</v>
      </c>
      <c r="F1599" s="3" t="str">
        <f>"by Martin Powell ; illustrated by Omar Lozano"</f>
        <v>by Martin Powell ; illustrated by Omar Lozano</v>
      </c>
      <c r="G1599" s="3" t="str">
        <f>"Stone Arch Books"</f>
        <v>Stone Arch Books</v>
      </c>
      <c r="H1599" s="2" t="str">
        <f>"2020"</f>
        <v>2020</v>
      </c>
      <c r="I1599" s="3" t="str">
        <f>""</f>
        <v/>
      </c>
    </row>
    <row r="1600" spans="1:9" x14ac:dyDescent="0.3">
      <c r="A1600" s="2">
        <v>1599</v>
      </c>
      <c r="B1600" s="4" t="s">
        <v>29</v>
      </c>
      <c r="C1600" s="3" t="str">
        <f>"TFC000002991"</f>
        <v>TFC000002991</v>
      </c>
      <c r="D1600" s="3" t="str">
        <f>"F800-20-1220-(AR 2.8)"</f>
        <v>F800-20-1220-(AR 2.8)</v>
      </c>
      <c r="E1600" s="3" t="str">
        <f>"(A)new year"</f>
        <v>(A)new year</v>
      </c>
      <c r="F1600" s="3" t="str">
        <f>"by Molly Beth Griffin ; illustrated by Colin Jack"</f>
        <v>by Molly Beth Griffin ; illustrated by Colin Jack</v>
      </c>
      <c r="G1600" s="3" t="str">
        <f>"Picture Window Books"</f>
        <v>Picture Window Books</v>
      </c>
      <c r="H1600" s="2" t="str">
        <f>"2019"</f>
        <v>2019</v>
      </c>
      <c r="I1600" s="3" t="str">
        <f>""</f>
        <v/>
      </c>
    </row>
    <row r="1601" spans="1:9" x14ac:dyDescent="0.3">
      <c r="A1601" s="2">
        <v>1600</v>
      </c>
      <c r="B1601" s="4" t="s">
        <v>29</v>
      </c>
      <c r="C1601" s="3" t="str">
        <f>"TFC000002992"</f>
        <v>TFC000002992</v>
      </c>
      <c r="D1601" s="3" t="str">
        <f>"F800-20-1221-(AR 2.8)"</f>
        <v>F800-20-1221-(AR 2.8)</v>
      </c>
      <c r="E1601" s="3" t="str">
        <f>"Party time"</f>
        <v>Party time</v>
      </c>
      <c r="F1601" s="3" t="str">
        <f>"by Molly Beth Griffin ; illustrated by Colin Jack"</f>
        <v>by Molly Beth Griffin ; illustrated by Colin Jack</v>
      </c>
      <c r="G1601" s="3" t="str">
        <f>"Picture Window Books"</f>
        <v>Picture Window Books</v>
      </c>
      <c r="H1601" s="2" t="str">
        <f>"2019"</f>
        <v>2019</v>
      </c>
      <c r="I1601" s="3" t="str">
        <f>""</f>
        <v/>
      </c>
    </row>
    <row r="1602" spans="1:9" x14ac:dyDescent="0.3">
      <c r="A1602" s="2">
        <v>1601</v>
      </c>
      <c r="B1602" s="4" t="s">
        <v>29</v>
      </c>
      <c r="C1602" s="3" t="str">
        <f>"TFC000003015"</f>
        <v>TFC000003015</v>
      </c>
      <c r="D1602" s="3" t="str">
        <f>"F800-20-1222-(AR 2.8)"</f>
        <v>F800-20-1222-(AR 2.8)</v>
      </c>
      <c r="E1602" s="3" t="str">
        <f>"Doo good together, Scooby-Doo!"</f>
        <v>Doo good together, Scooby-Doo!</v>
      </c>
      <c r="F1602" s="3" t="str">
        <f>"written by Christianne Jones ; illustrated by Comicup Design Studio SL."</f>
        <v>written by Christianne Jones ; illustrated by Comicup Design Studio SL.</v>
      </c>
      <c r="G1602" s="3" t="str">
        <f>"Capstone Editions"</f>
        <v>Capstone Editions</v>
      </c>
      <c r="H1602" s="2" t="str">
        <f>"2019"</f>
        <v>2019</v>
      </c>
      <c r="I1602" s="3" t="str">
        <f>""</f>
        <v/>
      </c>
    </row>
    <row r="1603" spans="1:9" x14ac:dyDescent="0.3">
      <c r="A1603" s="2">
        <v>1602</v>
      </c>
      <c r="B1603" s="4" t="s">
        <v>29</v>
      </c>
      <c r="C1603" s="3" t="str">
        <f>"TFC000003072"</f>
        <v>TFC000003072</v>
      </c>
      <c r="D1603" s="3" t="str">
        <f>"F400-20-1139-(AR 2.8)"</f>
        <v>F400-20-1139-(AR 2.8)</v>
      </c>
      <c r="E1603" s="3" t="str">
        <f>"Actual size"</f>
        <v>Actual size</v>
      </c>
      <c r="F1603" s="3" t="str">
        <f>"Steve Jenkins"</f>
        <v>Steve Jenkins</v>
      </c>
      <c r="G1603" s="3" t="str">
        <f>"Sandpiper"</f>
        <v>Sandpiper</v>
      </c>
      <c r="H1603" s="2" t="str">
        <f>"2004"</f>
        <v>2004</v>
      </c>
      <c r="I1603" s="3" t="str">
        <f>""</f>
        <v/>
      </c>
    </row>
    <row r="1604" spans="1:9" x14ac:dyDescent="0.3">
      <c r="A1604" s="2">
        <v>1603</v>
      </c>
      <c r="B1604" s="4" t="s">
        <v>29</v>
      </c>
      <c r="C1604" s="3" t="str">
        <f>"TFC000003215"</f>
        <v>TFC000003215</v>
      </c>
      <c r="D1604" s="3" t="str">
        <f>"F800-21-0366-(AR 2.8)"</f>
        <v>F800-21-0366-(AR 2.8)</v>
      </c>
      <c r="E1604" s="3" t="str">
        <f>"Night driving"</f>
        <v>Night driving</v>
      </c>
      <c r="F1604" s="3" t="str">
        <f>"by John Coy ; illustrated by Peter McCarty"</f>
        <v>by John Coy ; illustrated by Peter McCarty</v>
      </c>
      <c r="G1604" s="3" t="str">
        <f>"H. Holt"</f>
        <v>H. Holt</v>
      </c>
      <c r="H1604" s="2" t="str">
        <f>"2012"</f>
        <v>2012</v>
      </c>
      <c r="I1604" s="3" t="str">
        <f>""</f>
        <v/>
      </c>
    </row>
    <row r="1605" spans="1:9" x14ac:dyDescent="0.3">
      <c r="A1605" s="2">
        <v>1604</v>
      </c>
      <c r="B1605" s="4" t="s">
        <v>29</v>
      </c>
      <c r="C1605" s="3" t="str">
        <f>"TFC000003218"</f>
        <v>TFC000003218</v>
      </c>
      <c r="D1605" s="3" t="str">
        <f>"F800-21-0367-(AR 2.8)"</f>
        <v>F800-21-0367-(AR 2.8)</v>
      </c>
      <c r="E1605" s="3" t="str">
        <f>"(The)tenth good thing about Barney"</f>
        <v>(The)tenth good thing about Barney</v>
      </c>
      <c r="F1605" s="3" t="str">
        <f>"by Judith Viorst ; illustrated by Erik Blegvad"</f>
        <v>by Judith Viorst ; illustrated by Erik Blegvad</v>
      </c>
      <c r="G1605" s="3" t="str">
        <f>"Aladdin Paperbacks"</f>
        <v>Aladdin Paperbacks</v>
      </c>
      <c r="H1605" s="2" t="str">
        <f>"1971"</f>
        <v>1971</v>
      </c>
      <c r="I1605" s="3" t="str">
        <f>""</f>
        <v/>
      </c>
    </row>
    <row r="1606" spans="1:9" x14ac:dyDescent="0.3">
      <c r="A1606" s="2">
        <v>1605</v>
      </c>
      <c r="B1606" s="4" t="s">
        <v>29</v>
      </c>
      <c r="C1606" s="3" t="str">
        <f>"TFC000003220"</f>
        <v>TFC000003220</v>
      </c>
      <c r="D1606" s="3" t="str">
        <f>"F800-21-0368-(AR 2.8)"</f>
        <v>F800-21-0368-(AR 2.8)</v>
      </c>
      <c r="E1606" s="3" t="str">
        <f>"Gilberto and the wind"</f>
        <v>Gilberto and the wind</v>
      </c>
      <c r="F1606" s="3" t="str">
        <f>"by Marie Hall Ets"</f>
        <v>by Marie Hall Ets</v>
      </c>
      <c r="G1606" s="3" t="str">
        <f>"Live Oak Media"</f>
        <v>Live Oak Media</v>
      </c>
      <c r="H1606" s="2" t="str">
        <f>"1989"</f>
        <v>1989</v>
      </c>
      <c r="I1606" s="3" t="str">
        <f>""</f>
        <v/>
      </c>
    </row>
    <row r="1607" spans="1:9" x14ac:dyDescent="0.3">
      <c r="A1607" s="2">
        <v>1606</v>
      </c>
      <c r="B1607" s="4" t="s">
        <v>29</v>
      </c>
      <c r="C1607" s="3" t="str">
        <f>"TFC000003234"</f>
        <v>TFC000003234</v>
      </c>
      <c r="D1607" s="3" t="str">
        <f>"F800-21-0370-(AR 2.8)"</f>
        <v>F800-21-0370-(AR 2.8)</v>
      </c>
      <c r="E1607" s="3" t="str">
        <f>"Curious George goes to a costume party"</f>
        <v>Curious George goes to a costume party</v>
      </c>
      <c r="F1607" s="3" t="str">
        <f>"by Margret Rey ; illustrated by H. A. Rey"</f>
        <v>by Margret Rey ; illustrated by H. A. Rey</v>
      </c>
      <c r="G1607" s="3" t="str">
        <f>"Houghton Mifflin"</f>
        <v>Houghton Mifflin</v>
      </c>
      <c r="H1607" s="2" t="str">
        <f>"2001"</f>
        <v>2001</v>
      </c>
      <c r="I1607" s="3" t="str">
        <f>""</f>
        <v/>
      </c>
    </row>
    <row r="1608" spans="1:9" x14ac:dyDescent="0.3">
      <c r="A1608" s="2">
        <v>1607</v>
      </c>
      <c r="B1608" s="4" t="s">
        <v>29</v>
      </c>
      <c r="C1608" s="3" t="str">
        <f>"TFC000003269"</f>
        <v>TFC000003269</v>
      </c>
      <c r="D1608" s="3" t="str">
        <f>"F800-21-0371-(AR 2.8)"</f>
        <v>F800-21-0371-(AR 2.8)</v>
      </c>
      <c r="E1608" s="3" t="str">
        <f>"Horrible harry and the drop of doom"</f>
        <v>Horrible harry and the drop of doom</v>
      </c>
      <c r="F1608" s="3" t="str">
        <f>"by Suzy Kline ; pictures by Frank Remkiewicz"</f>
        <v>by Suzy Kline ; pictures by Frank Remkiewicz</v>
      </c>
      <c r="G1608" s="3" t="str">
        <f>"Puffin Books"</f>
        <v>Puffin Books</v>
      </c>
      <c r="H1608" s="2" t="str">
        <f>"2014"</f>
        <v>2014</v>
      </c>
      <c r="I1608" s="3" t="str">
        <f>""</f>
        <v/>
      </c>
    </row>
    <row r="1609" spans="1:9" x14ac:dyDescent="0.3">
      <c r="A1609" s="2">
        <v>1608</v>
      </c>
      <c r="B1609" s="4" t="s">
        <v>29</v>
      </c>
      <c r="C1609" s="3" t="str">
        <f>"TFC000003273"</f>
        <v>TFC000003273</v>
      </c>
      <c r="D1609" s="3" t="str">
        <f>"F800-21-0373-(AR 2.8)"</f>
        <v>F800-21-0373-(AR 2.8)</v>
      </c>
      <c r="E1609" s="3" t="str">
        <f>"Junie B. Jones is a party animal"</f>
        <v>Junie B. Jones is a party animal</v>
      </c>
      <c r="F1609" s="3" t="str">
        <f>"written by Barbara Park ; illustrated by Denise Brunkus"</f>
        <v>written by Barbara Park ; illustrated by Denise Brunkus</v>
      </c>
      <c r="G1609" s="3" t="str">
        <f>"Random House"</f>
        <v>Random House</v>
      </c>
      <c r="H1609" s="2" t="str">
        <f>"1997"</f>
        <v>1997</v>
      </c>
      <c r="I1609" s="3" t="str">
        <f>""</f>
        <v/>
      </c>
    </row>
    <row r="1610" spans="1:9" x14ac:dyDescent="0.3">
      <c r="A1610" s="2">
        <v>1609</v>
      </c>
      <c r="B1610" s="4" t="s">
        <v>29</v>
      </c>
      <c r="C1610" s="3" t="str">
        <f>"TFC000003274"</f>
        <v>TFC000003274</v>
      </c>
      <c r="D1610" s="3" t="str">
        <f>"F800-21-0374-(AR 2.8)"</f>
        <v>F800-21-0374-(AR 2.8)</v>
      </c>
      <c r="E1610" s="3" t="str">
        <f>"Junie B., first grader boss of lunch"</f>
        <v>Junie B., first grader boss of lunch</v>
      </c>
      <c r="F1610" s="3" t="str">
        <f>"written by Barbara Park ; illustrated by Denise Brunkus"</f>
        <v>written by Barbara Park ; illustrated by Denise Brunkus</v>
      </c>
      <c r="G1610" s="3" t="str">
        <f>"Random House"</f>
        <v>Random House</v>
      </c>
      <c r="H1610" s="2" t="str">
        <f>"2002"</f>
        <v>2002</v>
      </c>
      <c r="I1610" s="3" t="str">
        <f>""</f>
        <v/>
      </c>
    </row>
    <row r="1611" spans="1:9" x14ac:dyDescent="0.3">
      <c r="A1611" s="2">
        <v>1610</v>
      </c>
      <c r="B1611" s="4" t="s">
        <v>29</v>
      </c>
      <c r="C1611" s="3" t="str">
        <f>"TFC000003275"</f>
        <v>TFC000003275</v>
      </c>
      <c r="D1611" s="3" t="str">
        <f>"F800-21-0375-(AR 2.8)"</f>
        <v>F800-21-0375-(AR 2.8)</v>
      </c>
      <c r="E1611" s="3" t="str">
        <f>"Junie B. Jones and that meanie Jim's birthday"</f>
        <v>Junie B. Jones and that meanie Jim's birthday</v>
      </c>
      <c r="F1611" s="3" t="str">
        <f>"written by Barbara Park ; illustrated by Denise Brunkus"</f>
        <v>written by Barbara Park ; illustrated by Denise Brunkus</v>
      </c>
      <c r="G1611" s="3" t="str">
        <f>"Random House"</f>
        <v>Random House</v>
      </c>
      <c r="H1611" s="2" t="str">
        <f>"1997"</f>
        <v>1997</v>
      </c>
      <c r="I1611" s="3" t="str">
        <f>""</f>
        <v/>
      </c>
    </row>
    <row r="1612" spans="1:9" x14ac:dyDescent="0.3">
      <c r="A1612" s="2">
        <v>1611</v>
      </c>
      <c r="B1612" s="4" t="s">
        <v>29</v>
      </c>
      <c r="C1612" s="3" t="str">
        <f>"TFC000003327"</f>
        <v>TFC000003327</v>
      </c>
      <c r="D1612" s="3" t="str">
        <f>"F400-21-0355-(AR 2.8)"</f>
        <v>F400-21-0355-(AR 2.8)</v>
      </c>
      <c r="E1612" s="3" t="str">
        <f>"Air"</f>
        <v>Air</v>
      </c>
      <c r="F1612" s="3" t="str">
        <f>"by Tamra B. Orr"</f>
        <v>by Tamra B. Orr</v>
      </c>
      <c r="G1612" s="3" t="str">
        <f>"Capstone Press"</f>
        <v>Capstone Press</v>
      </c>
      <c r="H1612" s="2" t="str">
        <f>"2021"</f>
        <v>2021</v>
      </c>
      <c r="I1612" s="3" t="str">
        <f>""</f>
        <v/>
      </c>
    </row>
    <row r="1613" spans="1:9" x14ac:dyDescent="0.3">
      <c r="A1613" s="2">
        <v>1612</v>
      </c>
      <c r="B1613" s="4" t="s">
        <v>29</v>
      </c>
      <c r="C1613" s="3" t="str">
        <f>"TFC000003328"</f>
        <v>TFC000003328</v>
      </c>
      <c r="D1613" s="3" t="str">
        <f>"F400-21-0356-(AR 2.8)"</f>
        <v>F400-21-0356-(AR 2.8)</v>
      </c>
      <c r="E1613" s="3" t="str">
        <f>"Capybaras"</f>
        <v>Capybaras</v>
      </c>
      <c r="F1613" s="3" t="str">
        <f>"by Martha E. H. Rustad"</f>
        <v>by Martha E. H. Rustad</v>
      </c>
      <c r="G1613" s="3" t="str">
        <f>"Pebble"</f>
        <v>Pebble</v>
      </c>
      <c r="H1613" s="2" t="str">
        <f>"2021"</f>
        <v>2021</v>
      </c>
      <c r="I1613" s="3" t="str">
        <f>""</f>
        <v/>
      </c>
    </row>
    <row r="1614" spans="1:9" x14ac:dyDescent="0.3">
      <c r="A1614" s="2">
        <v>1613</v>
      </c>
      <c r="B1614" s="4" t="s">
        <v>29</v>
      </c>
      <c r="C1614" s="3" t="str">
        <f>"TFC000003330"</f>
        <v>TFC000003330</v>
      </c>
      <c r="D1614" s="3" t="str">
        <f>"F800-21-0376-(AR 2.8)"</f>
        <v>F800-21-0376-(AR 2.8)</v>
      </c>
      <c r="E1614" s="3" t="str">
        <f>"Starla Jean : which came first: the chicken or the friendship?"</f>
        <v>Starla Jean : which came first: the chicken or the friendship?</v>
      </c>
      <c r="F1614" s="3" t="str">
        <f>"by Elana K. Arnold ; illustrated by A.N. Kang"</f>
        <v>by Elana K. Arnold ; illustrated by A.N. Kang</v>
      </c>
      <c r="G1614" s="3" t="str">
        <f>"Roaring Brook Press"</f>
        <v>Roaring Brook Press</v>
      </c>
      <c r="H1614" s="2" t="str">
        <f>"2021"</f>
        <v>2021</v>
      </c>
      <c r="I1614" s="3" t="str">
        <f>""</f>
        <v/>
      </c>
    </row>
    <row r="1615" spans="1:9" x14ac:dyDescent="0.3">
      <c r="A1615" s="2">
        <v>1614</v>
      </c>
      <c r="B1615" s="4" t="s">
        <v>29</v>
      </c>
      <c r="C1615" s="3" t="str">
        <f>"TFC000003331"</f>
        <v>TFC000003331</v>
      </c>
      <c r="D1615" s="3" t="str">
        <f>"F800-21-0377-(AR 2.8)"</f>
        <v>F800-21-0377-(AR 2.8)</v>
      </c>
      <c r="E1615" s="3" t="str">
        <f>"Tad"</f>
        <v>Tad</v>
      </c>
      <c r="F1615" s="3" t="str">
        <f>"by Benji Davies"</f>
        <v>by Benji Davies</v>
      </c>
      <c r="G1615" s="3" t="str">
        <f>"HarperCollins Children's Books"</f>
        <v>HarperCollins Children's Books</v>
      </c>
      <c r="H1615" s="2" t="str">
        <f>"2020"</f>
        <v>2020</v>
      </c>
      <c r="I1615" s="3" t="str">
        <f>""</f>
        <v/>
      </c>
    </row>
    <row r="1616" spans="1:9" x14ac:dyDescent="0.3">
      <c r="A1616" s="2">
        <v>1615</v>
      </c>
      <c r="B1616" s="4" t="s">
        <v>29</v>
      </c>
      <c r="C1616" s="3" t="str">
        <f>"TFC000003332"</f>
        <v>TFC000003332</v>
      </c>
      <c r="D1616" s="3" t="str">
        <f>"F500-21-0361-(AR 2.8)"</f>
        <v>F500-21-0361-(AR 2.8)</v>
      </c>
      <c r="E1616" s="3" t="str">
        <f>"Worrying too much : learning how to manage stress"</f>
        <v>Worrying too much : learning how to manage stress</v>
      </c>
      <c r="F1616" s="3" t="str">
        <f>"by Alyssa Krekelberg"</f>
        <v>by Alyssa Krekelberg</v>
      </c>
      <c r="G1616" s="3" t="str">
        <f>"The Child's World"</f>
        <v>The Child's World</v>
      </c>
      <c r="H1616" s="2" t="str">
        <f>"2021"</f>
        <v>2021</v>
      </c>
      <c r="I1616" s="3" t="str">
        <f>""</f>
        <v/>
      </c>
    </row>
    <row r="1617" spans="1:9" x14ac:dyDescent="0.3">
      <c r="A1617" s="2">
        <v>1616</v>
      </c>
      <c r="B1617" s="4" t="s">
        <v>29</v>
      </c>
      <c r="C1617" s="3" t="str">
        <f>"TFC000003425"</f>
        <v>TFC000003425</v>
      </c>
      <c r="D1617" s="3" t="str">
        <f>"F800-21-0378-(AR 2.8)"</f>
        <v>F800-21-0378-(AR 2.8)</v>
      </c>
      <c r="E1617" s="3" t="str">
        <f>"Junie B., first Grader : Jingle Bells, Batman Smells!(P.S. So Does May.)"</f>
        <v>Junie B., first Grader : Jingle Bells, Batman Smells!(P.S. So Does May.)</v>
      </c>
      <c r="F1617" s="3" t="str">
        <f>"written by Barbara Park ; illustrated by Denise Brunkus"</f>
        <v>written by Barbara Park ; illustrated by Denise Brunkus</v>
      </c>
      <c r="G1617" s="3" t="str">
        <f>"Random House"</f>
        <v>Random House</v>
      </c>
      <c r="H1617" s="2" t="str">
        <f>"2006"</f>
        <v>2006</v>
      </c>
      <c r="I1617" s="3" t="str">
        <f>""</f>
        <v/>
      </c>
    </row>
    <row r="1618" spans="1:9" x14ac:dyDescent="0.3">
      <c r="A1618" s="2">
        <v>1617</v>
      </c>
      <c r="B1618" s="4" t="s">
        <v>29</v>
      </c>
      <c r="C1618" s="3" t="str">
        <f>"TFC000003426"</f>
        <v>TFC000003426</v>
      </c>
      <c r="D1618" s="3" t="str">
        <f>"F800-21-0379-(AR 2.8)"</f>
        <v>F800-21-0379-(AR 2.8)</v>
      </c>
      <c r="E1618" s="3" t="str">
        <f>"Junie B., first grader toothless wonder"</f>
        <v>Junie B., first grader toothless wonder</v>
      </c>
      <c r="F1618" s="3" t="str">
        <f>"written by Barbara Park ; illustrated by Denise Brunkus"</f>
        <v>written by Barbara Park ; illustrated by Denise Brunkus</v>
      </c>
      <c r="G1618" s="3" t="str">
        <f>"Random House"</f>
        <v>Random House</v>
      </c>
      <c r="H1618" s="2" t="str">
        <f>"2002"</f>
        <v>2002</v>
      </c>
      <c r="I1618" s="3" t="str">
        <f>""</f>
        <v/>
      </c>
    </row>
    <row r="1619" spans="1:9" x14ac:dyDescent="0.3">
      <c r="A1619" s="2">
        <v>1618</v>
      </c>
      <c r="B1619" s="4" t="s">
        <v>29</v>
      </c>
      <c r="C1619" s="3" t="str">
        <f>"TFC000003532"</f>
        <v>TFC000003532</v>
      </c>
      <c r="D1619" s="3" t="str">
        <f>"F800-21-0964-(AR 2.8)"</f>
        <v>F800-21-0964-(AR 2.8)</v>
      </c>
      <c r="E1619" s="3" t="str">
        <f>"That monster on the block"</f>
        <v>That monster on the block</v>
      </c>
      <c r="F1619" s="3" t="str">
        <f>"by Sue Ganz-Schmitt ; illustrated by Luke Flowers"</f>
        <v>by Sue Ganz-Schmitt ; illustrated by Luke Flowers</v>
      </c>
      <c r="G1619" s="3" t="str">
        <f>"Two Lions"</f>
        <v>Two Lions</v>
      </c>
      <c r="H1619" s="2" t="str">
        <f>"2020"</f>
        <v>2020</v>
      </c>
      <c r="I1619" s="3" t="str">
        <f>""</f>
        <v/>
      </c>
    </row>
    <row r="1620" spans="1:9" x14ac:dyDescent="0.3">
      <c r="A1620" s="2">
        <v>1619</v>
      </c>
      <c r="B1620" s="4" t="s">
        <v>29</v>
      </c>
      <c r="C1620" s="3" t="str">
        <f>"TFC000003538"</f>
        <v>TFC000003538</v>
      </c>
      <c r="D1620" s="3" t="str">
        <f>"F800-21-0380-(AR 2.8)"</f>
        <v>F800-21-0380-(AR 2.8)</v>
      </c>
      <c r="E1620" s="3" t="str">
        <f>"Bill and Pete"</f>
        <v>Bill and Pete</v>
      </c>
      <c r="F1620" s="3" t="str">
        <f>"story and pictures by Tomie dePaola"</f>
        <v>story and pictures by Tomie dePaola</v>
      </c>
      <c r="G1620" s="3" t="str">
        <f>"Putnam &amp; Grosset Group"</f>
        <v>Putnam &amp; Grosset Group</v>
      </c>
      <c r="H1620" s="2" t="str">
        <f>"1996"</f>
        <v>1996</v>
      </c>
      <c r="I1620" s="3" t="str">
        <f>""</f>
        <v/>
      </c>
    </row>
    <row r="1621" spans="1:9" x14ac:dyDescent="0.3">
      <c r="A1621" s="2">
        <v>1620</v>
      </c>
      <c r="B1621" s="4" t="s">
        <v>29</v>
      </c>
      <c r="C1621" s="3" t="str">
        <f>"TFC000003539"</f>
        <v>TFC000003539</v>
      </c>
      <c r="D1621" s="3" t="str">
        <f>"F800-21-0381-(AR 2.8)"</f>
        <v>F800-21-0381-(AR 2.8)</v>
      </c>
      <c r="E1621" s="3" t="str">
        <f>"Pigsty"</f>
        <v>Pigsty</v>
      </c>
      <c r="F1621" s="3" t="str">
        <f>"by Mark Teague"</f>
        <v>by Mark Teague</v>
      </c>
      <c r="G1621" s="3" t="str">
        <f>"Scholastic"</f>
        <v>Scholastic</v>
      </c>
      <c r="H1621" s="2" t="str">
        <f>"2004"</f>
        <v>2004</v>
      </c>
      <c r="I1621" s="3" t="str">
        <f>""</f>
        <v/>
      </c>
    </row>
    <row r="1622" spans="1:9" x14ac:dyDescent="0.3">
      <c r="A1622" s="2">
        <v>1621</v>
      </c>
      <c r="B1622" s="4" t="s">
        <v>29</v>
      </c>
      <c r="C1622" s="3" t="str">
        <f>"TFC000003549"</f>
        <v>TFC000003549</v>
      </c>
      <c r="D1622" s="3" t="str">
        <f>"F500-21-0362-(AR 2.8)"</f>
        <v>F500-21-0362-(AR 2.8)</v>
      </c>
      <c r="E1622" s="3" t="str">
        <f>"Care for your body"</f>
        <v>Care for your body</v>
      </c>
      <c r="F1622" s="3" t="str">
        <f>"by Martha E. H. Rustad"</f>
        <v>by Martha E. H. Rustad</v>
      </c>
      <c r="G1622" s="3" t="str">
        <f>"Pebble"</f>
        <v>Pebble</v>
      </c>
      <c r="H1622" s="2" t="str">
        <f>"2021"</f>
        <v>2021</v>
      </c>
      <c r="I1622" s="3" t="str">
        <f>""</f>
        <v/>
      </c>
    </row>
    <row r="1623" spans="1:9" x14ac:dyDescent="0.3">
      <c r="A1623" s="2">
        <v>1622</v>
      </c>
      <c r="B1623" s="4" t="s">
        <v>29</v>
      </c>
      <c r="C1623" s="3" t="str">
        <f>"TFC000003550"</f>
        <v>TFC000003550</v>
      </c>
      <c r="D1623" s="3" t="str">
        <f>"F600-21-0364-(AR 2.8)"</f>
        <v>F600-21-0364-(AR 2.8)</v>
      </c>
      <c r="E1623" s="3" t="str">
        <f>"Games around the world"</f>
        <v>Games around the world</v>
      </c>
      <c r="F1623" s="3" t="str">
        <f>"by Lindsay Shaffer"</f>
        <v>by Lindsay Shaffer</v>
      </c>
      <c r="G1623" s="3" t="str">
        <f>"Pebble, a Capstone imprint"</f>
        <v>Pebble, a Capstone imprint</v>
      </c>
      <c r="H1623" s="2" t="str">
        <f>"2021"</f>
        <v>2021</v>
      </c>
      <c r="I1623" s="3" t="str">
        <f>""</f>
        <v/>
      </c>
    </row>
    <row r="1624" spans="1:9" x14ac:dyDescent="0.3">
      <c r="A1624" s="2">
        <v>1623</v>
      </c>
      <c r="B1624" s="4" t="s">
        <v>29</v>
      </c>
      <c r="C1624" s="3" t="str">
        <f>"TFC000003551"</f>
        <v>TFC000003551</v>
      </c>
      <c r="D1624" s="3" t="str">
        <f>"F300-21-0354-(AR 2.8)"</f>
        <v>F300-21-0354-(AR 2.8)</v>
      </c>
      <c r="E1624" s="3" t="str">
        <f>"Let's get along : resolving conflict"</f>
        <v>Let's get along : resolving conflict</v>
      </c>
      <c r="F1624" s="3" t="str">
        <f>"by Alyssa Krekelberg"</f>
        <v>by Alyssa Krekelberg</v>
      </c>
      <c r="G1624" s="3" t="str">
        <f>"The Child's World"</f>
        <v>The Child's World</v>
      </c>
      <c r="H1624" s="2" t="str">
        <f>"2021"</f>
        <v>2021</v>
      </c>
      <c r="I1624" s="3" t="str">
        <f>""</f>
        <v/>
      </c>
    </row>
    <row r="1625" spans="1:9" x14ac:dyDescent="0.3">
      <c r="A1625" s="2">
        <v>1624</v>
      </c>
      <c r="B1625" s="4" t="s">
        <v>29</v>
      </c>
      <c r="C1625" s="3" t="str">
        <f>"TFC000003552"</f>
        <v>TFC000003552</v>
      </c>
      <c r="D1625" s="3" t="str">
        <f>"F800-21-0382-(AR 2.8)"</f>
        <v>F800-21-0382-(AR 2.8)</v>
      </c>
      <c r="E1625" s="3" t="str">
        <f>"Green eyes"</f>
        <v>Green eyes</v>
      </c>
      <c r="F1625" s="3" t="str">
        <f>"by Abe Birnbaum"</f>
        <v>by Abe Birnbaum</v>
      </c>
      <c r="G1625" s="3" t="str">
        <f>"Dragonfly books"</f>
        <v>Dragonfly books</v>
      </c>
      <c r="H1625" s="2" t="str">
        <f>"2011"</f>
        <v>2011</v>
      </c>
      <c r="I1625" s="3" t="str">
        <f>""</f>
        <v/>
      </c>
    </row>
    <row r="1626" spans="1:9" x14ac:dyDescent="0.3">
      <c r="A1626" s="2">
        <v>1625</v>
      </c>
      <c r="B1626" s="4" t="s">
        <v>29</v>
      </c>
      <c r="C1626" s="3" t="str">
        <f>"TFC000003611"</f>
        <v>TFC000003611</v>
      </c>
      <c r="D1626" s="3" t="str">
        <f>"F800-21-0383-(AR 2.8)"</f>
        <v>F800-21-0383-(AR 2.8)</v>
      </c>
      <c r="E1626" s="3" t="str">
        <f>"Hansel &amp; Gretel &amp; Zombies : a graphic novel"</f>
        <v>Hansel &amp; Gretel &amp; Zombies : a graphic novel</v>
      </c>
      <c r="F1626" s="3" t="str">
        <f>"by Benjamin Harper ; illustrated by Fernando Cano"</f>
        <v>by Benjamin Harper ; illustrated by Fernando Cano</v>
      </c>
      <c r="G1626" s="3" t="str">
        <f>"Raintree"</f>
        <v>Raintree</v>
      </c>
      <c r="H1626" s="2" t="str">
        <f>"2020"</f>
        <v>2020</v>
      </c>
      <c r="I1626" s="3" t="str">
        <f>""</f>
        <v/>
      </c>
    </row>
    <row r="1627" spans="1:9" x14ac:dyDescent="0.3">
      <c r="A1627" s="2">
        <v>1626</v>
      </c>
      <c r="B1627" s="4" t="s">
        <v>29</v>
      </c>
      <c r="C1627" s="3" t="str">
        <f>"TFC000003612"</f>
        <v>TFC000003612</v>
      </c>
      <c r="D1627" s="3" t="str">
        <f>"F800-21-0384-(AR 2.8)"</f>
        <v>F800-21-0384-(AR 2.8)</v>
      </c>
      <c r="E1627" s="3" t="str">
        <f>"Rapunzel vs Frankenstein : a graphic novel"</f>
        <v>Rapunzel vs Frankenstein : a graphic novel</v>
      </c>
      <c r="F1627" s="3" t="str">
        <f>"by Martin Powell ; illustrated by Omar Lozano"</f>
        <v>by Martin Powell ; illustrated by Omar Lozano</v>
      </c>
      <c r="G1627" s="3" t="str">
        <f>"Raintree"</f>
        <v>Raintree</v>
      </c>
      <c r="H1627" s="2" t="str">
        <f>"2020"</f>
        <v>2020</v>
      </c>
      <c r="I1627" s="3" t="str">
        <f>""</f>
        <v/>
      </c>
    </row>
    <row r="1628" spans="1:9" x14ac:dyDescent="0.3">
      <c r="A1628" s="2">
        <v>1627</v>
      </c>
      <c r="B1628" s="4" t="s">
        <v>29</v>
      </c>
      <c r="C1628" s="3" t="str">
        <f>"TFC000003613"</f>
        <v>TFC000003613</v>
      </c>
      <c r="D1628" s="3" t="str">
        <f>"F800-21-0385-(AR 2.8)"</f>
        <v>F800-21-0385-(AR 2.8)</v>
      </c>
      <c r="E1628" s="3" t="str">
        <f>"When Sophie's feelings are really, really hurt"</f>
        <v>When Sophie's feelings are really, really hurt</v>
      </c>
      <c r="F1628" s="3" t="str">
        <f>"by Molly Bang"</f>
        <v>by Molly Bang</v>
      </c>
      <c r="G1628" s="3" t="str">
        <f>"The Blue Sky Press"</f>
        <v>The Blue Sky Press</v>
      </c>
      <c r="H1628" s="2" t="str">
        <f>"2015"</f>
        <v>2015</v>
      </c>
      <c r="I1628" s="3" t="str">
        <f>""</f>
        <v/>
      </c>
    </row>
    <row r="1629" spans="1:9" x14ac:dyDescent="0.3">
      <c r="A1629" s="2">
        <v>1628</v>
      </c>
      <c r="B1629" s="4" t="s">
        <v>29</v>
      </c>
      <c r="C1629" s="3" t="str">
        <f>"TFC000003713"</f>
        <v>TFC000003713</v>
      </c>
      <c r="D1629" s="3" t="str">
        <f>"F800-21-0387-(AR 2.8)"</f>
        <v>F800-21-0387-(AR 2.8)</v>
      </c>
      <c r="E1629" s="3" t="str">
        <f>"(The)pool party from the Black Lagoon"</f>
        <v>(The)pool party from the Black Lagoon</v>
      </c>
      <c r="F1629" s="3" t="str">
        <f>"by Mike Thaler ; illustrated by Jared Lee"</f>
        <v>by Mike Thaler ; illustrated by Jared Lee</v>
      </c>
      <c r="G1629" s="3" t="str">
        <f>"Abdo/Spotlight:Scholastic Inc."</f>
        <v>Abdo/Spotlight:Scholastic Inc.</v>
      </c>
      <c r="H1629" s="2" t="str">
        <f>"2020"</f>
        <v>2020</v>
      </c>
      <c r="I1629" s="3" t="str">
        <f>""</f>
        <v/>
      </c>
    </row>
    <row r="1630" spans="1:9" x14ac:dyDescent="0.3">
      <c r="A1630" s="2">
        <v>1629</v>
      </c>
      <c r="B1630" s="4" t="s">
        <v>29</v>
      </c>
      <c r="C1630" s="3" t="str">
        <f>"TFC000003754"</f>
        <v>TFC000003754</v>
      </c>
      <c r="D1630" s="3" t="str">
        <f>"F800-21-0388-(AR 2.8)"</f>
        <v>F800-21-0388-(AR 2.8)</v>
      </c>
      <c r="E1630" s="3" t="str">
        <f>"(The)100th day of school from the black lagoon"</f>
        <v>(The)100th day of school from the black lagoon</v>
      </c>
      <c r="F1630" s="3" t="str">
        <f>"by Mike Thaler ; illustraed by Jared lee"</f>
        <v>by Mike Thaler ; illustraed by Jared lee</v>
      </c>
      <c r="G1630" s="3" t="str">
        <f>"Scholastic"</f>
        <v>Scholastic</v>
      </c>
      <c r="H1630" s="2" t="str">
        <f>"2012"</f>
        <v>2012</v>
      </c>
      <c r="I1630" s="3" t="str">
        <f>""</f>
        <v/>
      </c>
    </row>
    <row r="1631" spans="1:9" x14ac:dyDescent="0.3">
      <c r="A1631" s="2">
        <v>1630</v>
      </c>
      <c r="B1631" s="4" t="s">
        <v>29</v>
      </c>
      <c r="C1631" s="3" t="str">
        <f>"TFC000003758"</f>
        <v>TFC000003758</v>
      </c>
      <c r="D1631" s="3" t="str">
        <f>"F800-21-0389-(AR 2.8)"</f>
        <v>F800-21-0389-(AR 2.8)</v>
      </c>
      <c r="E1631" s="3" t="str">
        <f>"Friday the 13th from the black lagoon"</f>
        <v>Friday the 13th from the black lagoon</v>
      </c>
      <c r="F1631" s="3" t="str">
        <f>"by Mike Thaler ; illustraed by Jared lee"</f>
        <v>by Mike Thaler ; illustraed by Jared lee</v>
      </c>
      <c r="G1631" s="3" t="str">
        <f>"Scholastic"</f>
        <v>Scholastic</v>
      </c>
      <c r="H1631" s="2" t="str">
        <f>"2013"</f>
        <v>2013</v>
      </c>
      <c r="I1631" s="3" t="str">
        <f>""</f>
        <v/>
      </c>
    </row>
    <row r="1632" spans="1:9" x14ac:dyDescent="0.3">
      <c r="A1632" s="2">
        <v>1631</v>
      </c>
      <c r="B1632" s="4" t="s">
        <v>29</v>
      </c>
      <c r="C1632" s="3" t="str">
        <f>"TFC000003771"</f>
        <v>TFC000003771</v>
      </c>
      <c r="D1632" s="3" t="str">
        <f>"F800-21-0390-(AR 2.8)"</f>
        <v>F800-21-0390-(AR 2.8)</v>
      </c>
      <c r="E1632" s="3" t="str">
        <f>"(The)rough patch"</f>
        <v>(The)rough patch</v>
      </c>
      <c r="F1632" s="3" t="str">
        <f>"written and illustrated by Brian Lies"</f>
        <v>written and illustrated by Brian Lies</v>
      </c>
      <c r="G1632" s="3" t="str">
        <f>"Greenwillow Books, an imprint of HarperCollinsPublishers"</f>
        <v>Greenwillow Books, an imprint of HarperCollinsPublishers</v>
      </c>
      <c r="H1632" s="2" t="str">
        <f>"2018"</f>
        <v>2018</v>
      </c>
      <c r="I1632" s="3" t="str">
        <f>""</f>
        <v/>
      </c>
    </row>
    <row r="1633" spans="1:9" x14ac:dyDescent="0.3">
      <c r="A1633" s="2">
        <v>1632</v>
      </c>
      <c r="B1633" s="4" t="s">
        <v>29</v>
      </c>
      <c r="C1633" s="3" t="str">
        <f>"TFC000003786"</f>
        <v>TFC000003786</v>
      </c>
      <c r="D1633" s="3" t="str">
        <f>"F400-21-0357-(AR 2.8)"</f>
        <v>F400-21-0357-(AR 2.8)</v>
      </c>
      <c r="E1633" s="3" t="str">
        <f>"What makes day and night"</f>
        <v>What makes day and night</v>
      </c>
      <c r="F1633" s="3" t="str">
        <f>"by Franklyn M. Branley ; Illustrated by Arytur Dorros"</f>
        <v>by Franklyn M. Branley ; Illustrated by Arytur Dorros</v>
      </c>
      <c r="G1633" s="3" t="str">
        <f>"Harper, an imprint of HarperCollinsPublishers"</f>
        <v>Harper, an imprint of HarperCollinsPublishers</v>
      </c>
      <c r="H1633" s="2" t="str">
        <f>"2015"</f>
        <v>2015</v>
      </c>
      <c r="I1633" s="3" t="str">
        <f>""</f>
        <v/>
      </c>
    </row>
    <row r="1634" spans="1:9" x14ac:dyDescent="0.3">
      <c r="A1634" s="2">
        <v>1633</v>
      </c>
      <c r="B1634" s="4" t="s">
        <v>29</v>
      </c>
      <c r="C1634" s="3" t="str">
        <f>"TFC000004842"</f>
        <v>TFC000004842</v>
      </c>
      <c r="D1634" s="3" t="str">
        <f>"F800-22-0572-(AR 2.8)"</f>
        <v>F800-22-0572-(AR 2.8)</v>
      </c>
      <c r="E1634" s="3" t="str">
        <f>"(The)First cat in space ate pizza"</f>
        <v>(The)First cat in space ate pizza</v>
      </c>
      <c r="F1634" s="3" t="str">
        <f>"by Mac Barnett, Shawn Harris"</f>
        <v>by Mac Barnett, Shawn Harris</v>
      </c>
      <c r="G1634" s="3" t="str">
        <f>"Katherine Tegen Books"</f>
        <v>Katherine Tegen Books</v>
      </c>
      <c r="H1634" s="2" t="str">
        <f>"2022"</f>
        <v>2022</v>
      </c>
      <c r="I1634" s="3" t="str">
        <f>""</f>
        <v/>
      </c>
    </row>
    <row r="1635" spans="1:9" x14ac:dyDescent="0.3">
      <c r="A1635" s="2">
        <v>1634</v>
      </c>
      <c r="B1635" s="4" t="s">
        <v>29</v>
      </c>
      <c r="C1635" s="3" t="str">
        <f>"TFC000003826"</f>
        <v>TFC000003826</v>
      </c>
      <c r="D1635" s="3" t="str">
        <f>"F800-21-0391-(AR 2.8)"</f>
        <v>F800-21-0391-(AR 2.8)</v>
      </c>
      <c r="E1635" s="3" t="str">
        <f>"(The)Couch potato"</f>
        <v>(The)Couch potato</v>
      </c>
      <c r="F1635" s="3" t="str">
        <f>"written by Jory John, illustrate by Pete Oswald"</f>
        <v>written by Jory John, illustrate by Pete Oswald</v>
      </c>
      <c r="G1635" s="3" t="str">
        <f>"Harper"</f>
        <v>Harper</v>
      </c>
      <c r="H1635" s="2" t="str">
        <f>"2020"</f>
        <v>2020</v>
      </c>
      <c r="I1635" s="3" t="str">
        <f>""</f>
        <v/>
      </c>
    </row>
    <row r="1636" spans="1:9" x14ac:dyDescent="0.3">
      <c r="A1636" s="2">
        <v>1635</v>
      </c>
      <c r="B1636" s="4" t="s">
        <v>29</v>
      </c>
      <c r="C1636" s="3" t="str">
        <f>"TFC000003836"</f>
        <v>TFC000003836</v>
      </c>
      <c r="D1636" s="3" t="str">
        <f>"F800-21-0392-(AR 2.8)"</f>
        <v>F800-21-0392-(AR 2.8)</v>
      </c>
      <c r="E1636" s="3" t="str">
        <f>"Froggy for president!"</f>
        <v>Froggy for president!</v>
      </c>
      <c r="F1636" s="3" t="str">
        <f>"by Jonathan London, illustrated by Frank Remkiewicz."</f>
        <v>by Jonathan London, illustrated by Frank Remkiewicz.</v>
      </c>
      <c r="G1636" s="3" t="str">
        <f>"Viking"</f>
        <v>Viking</v>
      </c>
      <c r="H1636" s="2" t="str">
        <f>"2020"</f>
        <v>2020</v>
      </c>
      <c r="I1636" s="3" t="str">
        <f>""</f>
        <v/>
      </c>
    </row>
    <row r="1637" spans="1:9" x14ac:dyDescent="0.3">
      <c r="A1637" s="2">
        <v>1636</v>
      </c>
      <c r="B1637" s="4" t="s">
        <v>29</v>
      </c>
      <c r="C1637" s="3" t="str">
        <f>"TFC000003864"</f>
        <v>TFC000003864</v>
      </c>
      <c r="D1637" s="3" t="str">
        <f>"F800-21-0393-(AR 2.8)"</f>
        <v>F800-21-0393-(AR 2.8)</v>
      </c>
      <c r="E1637" s="3" t="str">
        <f>"Super rabbit boy's team-up trouble!"</f>
        <v>Super rabbit boy's team-up trouble!</v>
      </c>
      <c r="F1637" s="3" t="str">
        <f>"by Thomas Flintham"</f>
        <v>by Thomas Flintham</v>
      </c>
      <c r="G1637" s="3" t="str">
        <f>"Scholastic"</f>
        <v>Scholastic</v>
      </c>
      <c r="H1637" s="2" t="str">
        <f>"2021"</f>
        <v>2021</v>
      </c>
      <c r="I1637" s="3" t="str">
        <f>""</f>
        <v/>
      </c>
    </row>
    <row r="1638" spans="1:9" x14ac:dyDescent="0.3">
      <c r="A1638" s="2">
        <v>1637</v>
      </c>
      <c r="B1638" s="4" t="s">
        <v>29</v>
      </c>
      <c r="C1638" s="3" t="str">
        <f>"TFC000003922"</f>
        <v>TFC000003922</v>
      </c>
      <c r="D1638" s="3" t="str">
        <f>"F800-21-0395-(AR 2.8)"</f>
        <v>F800-21-0395-(AR 2.8)</v>
      </c>
      <c r="E1638" s="3" t="str">
        <f>"Froggy's Lemonade Stand"</f>
        <v>Froggy's Lemonade Stand</v>
      </c>
      <c r="F1638" s="3" t="str">
        <f>"by Jonathan London, illustrated by Frank Remkiewicz."</f>
        <v>by Jonathan London, illustrated by Frank Remkiewicz.</v>
      </c>
      <c r="G1638" s="3" t="str">
        <f>"Puffin Books"</f>
        <v>Puffin Books</v>
      </c>
      <c r="H1638" s="2" t="str">
        <f>"2019"</f>
        <v>2019</v>
      </c>
      <c r="I1638" s="3" t="str">
        <f>""</f>
        <v/>
      </c>
    </row>
    <row r="1639" spans="1:9" x14ac:dyDescent="0.3">
      <c r="A1639" s="2">
        <v>1638</v>
      </c>
      <c r="B1639" s="4" t="s">
        <v>29</v>
      </c>
      <c r="C1639" s="3" t="str">
        <f>"TFC000003983"</f>
        <v>TFC000003983</v>
      </c>
      <c r="D1639" s="3" t="str">
        <f>"F800-21-0396-(AR 2.8)"</f>
        <v>F800-21-0396-(AR 2.8)</v>
      </c>
      <c r="E1639" s="3" t="str">
        <f>"My sister, Daisy"</f>
        <v>My sister, Daisy</v>
      </c>
      <c r="F1639" s="3" t="str">
        <f>"by Adria Karlsson, illustrations by Linus Curci"</f>
        <v>by Adria Karlsson, illustrations by Linus Curci</v>
      </c>
      <c r="G1639" s="3" t="str">
        <f>"Capstone Editions"</f>
        <v>Capstone Editions</v>
      </c>
      <c r="H1639" s="2" t="str">
        <f>"2021"</f>
        <v>2021</v>
      </c>
      <c r="I1639" s="3" t="str">
        <f>""</f>
        <v/>
      </c>
    </row>
    <row r="1640" spans="1:9" x14ac:dyDescent="0.3">
      <c r="A1640" s="2">
        <v>1639</v>
      </c>
      <c r="B1640" s="4" t="s">
        <v>29</v>
      </c>
      <c r="C1640" s="3" t="str">
        <f>"TFC000003984"</f>
        <v>TFC000003984</v>
      </c>
      <c r="D1640" s="3" t="str">
        <f>"F800-21-0397-(AR 2.8)"</f>
        <v>F800-21-0397-(AR 2.8)</v>
      </c>
      <c r="E1640" s="3" t="str">
        <f>"Kiyoshi's walk"</f>
        <v>Kiyoshi's walk</v>
      </c>
      <c r="F1640" s="3" t="str">
        <f>"by Mark Karlins, illustrated by Nicole Wong"</f>
        <v>by Mark Karlins, illustrated by Nicole Wong</v>
      </c>
      <c r="G1640" s="3" t="str">
        <f>"Lee &amp; Low Books Inc"</f>
        <v>Lee &amp; Low Books Inc</v>
      </c>
      <c r="H1640" s="2" t="str">
        <f>"2021"</f>
        <v>2021</v>
      </c>
      <c r="I1640" s="3" t="str">
        <f>""</f>
        <v/>
      </c>
    </row>
    <row r="1641" spans="1:9" x14ac:dyDescent="0.3">
      <c r="A1641" s="2">
        <v>1640</v>
      </c>
      <c r="B1641" s="4" t="s">
        <v>29</v>
      </c>
      <c r="C1641" s="3" t="str">
        <f>"TFC000003986"</f>
        <v>TFC000003986</v>
      </c>
      <c r="D1641" s="3" t="str">
        <f>"F800-21-0399-(AR 2.8)"</f>
        <v>F800-21-0399-(AR 2.8)</v>
      </c>
      <c r="E1641" s="3" t="str">
        <f>"Chang's paper pony"</f>
        <v>Chang's paper pony</v>
      </c>
      <c r="F1641" s="3" t="str">
        <f>"by Eleanor Coerr, pictures by Deborah Kogan Ray"</f>
        <v>by Eleanor Coerr, pictures by Deborah Kogan Ray</v>
      </c>
      <c r="G1641" s="3" t="str">
        <f>"HarperTrophy"</f>
        <v>HarperTrophy</v>
      </c>
      <c r="H1641" s="2" t="str">
        <f>"1998"</f>
        <v>1998</v>
      </c>
      <c r="I1641" s="3" t="str">
        <f>""</f>
        <v/>
      </c>
    </row>
    <row r="1642" spans="1:9" x14ac:dyDescent="0.3">
      <c r="A1642" s="2">
        <v>1641</v>
      </c>
      <c r="B1642" s="4" t="s">
        <v>29</v>
      </c>
      <c r="C1642" s="3" t="str">
        <f>"TFC000003987"</f>
        <v>TFC000003987</v>
      </c>
      <c r="D1642" s="3" t="str">
        <f>"F500-21-0363-(AR 2.8)"</f>
        <v>F500-21-0363-(AR 2.8)</v>
      </c>
      <c r="E1642" s="3" t="str">
        <f>"Monster trucks!"</f>
        <v>Monster trucks!</v>
      </c>
      <c r="F1642" s="3" t="str">
        <f>"by Susan E. Goodman, illustrated by Michael Doolittle"</f>
        <v>by Susan E. Goodman, illustrated by Michael Doolittle</v>
      </c>
      <c r="G1642" s="3" t="str">
        <f>"Random House"</f>
        <v>Random House</v>
      </c>
      <c r="H1642" s="2" t="str">
        <f>"2010"</f>
        <v>2010</v>
      </c>
      <c r="I1642" s="3" t="str">
        <f>""</f>
        <v/>
      </c>
    </row>
    <row r="1643" spans="1:9" x14ac:dyDescent="0.3">
      <c r="A1643" s="2">
        <v>1642</v>
      </c>
      <c r="B1643" s="4" t="s">
        <v>29</v>
      </c>
      <c r="C1643" s="3" t="str">
        <f>"TFC000004051"</f>
        <v>TFC000004051</v>
      </c>
      <c r="D1643" s="3" t="str">
        <f>"F800-21-0401-(AR 2.8)"</f>
        <v>F800-21-0401-(AR 2.8)</v>
      </c>
      <c r="E1643" s="3" t="str">
        <f>"Turkey goes to school"</f>
        <v>Turkey goes to school</v>
      </c>
      <c r="F1643" s="3" t="str">
        <f>"by Wendi Silvano, illustrated by Lee Harper"</f>
        <v>by Wendi Silvano, illustrated by Lee Harper</v>
      </c>
      <c r="G1643" s="3" t="str">
        <f>"Two Lions"</f>
        <v>Two Lions</v>
      </c>
      <c r="H1643" s="2" t="str">
        <f>"2021"</f>
        <v>2021</v>
      </c>
      <c r="I1643" s="3" t="str">
        <f>""</f>
        <v/>
      </c>
    </row>
    <row r="1644" spans="1:9" x14ac:dyDescent="0.3">
      <c r="A1644" s="2">
        <v>1643</v>
      </c>
      <c r="B1644" s="4" t="s">
        <v>29</v>
      </c>
      <c r="C1644" s="3" t="str">
        <f>"TFC000004052"</f>
        <v>TFC000004052</v>
      </c>
      <c r="D1644" s="3" t="str">
        <f>"F400-21-0358-(AR 2.8)"</f>
        <v>F400-21-0358-(AR 2.8)</v>
      </c>
      <c r="E1644" s="3" t="str">
        <f>"Nasutoceratops"</f>
        <v>Nasutoceratops</v>
      </c>
      <c r="F1644" s="3" t="str">
        <f>"by Rebecca Sabelko, illustrated by James Keuther"</f>
        <v>by Rebecca Sabelko, illustrated by James Keuther</v>
      </c>
      <c r="G1644" s="3" t="str">
        <f>"Epic"</f>
        <v>Epic</v>
      </c>
      <c r="H1644" s="2" t="str">
        <f>"2021"</f>
        <v>2021</v>
      </c>
      <c r="I1644" s="3" t="str">
        <f>""</f>
        <v/>
      </c>
    </row>
    <row r="1645" spans="1:9" x14ac:dyDescent="0.3">
      <c r="A1645" s="2">
        <v>1644</v>
      </c>
      <c r="B1645" s="4" t="s">
        <v>29</v>
      </c>
      <c r="C1645" s="3" t="str">
        <f>"TFC000004053"</f>
        <v>TFC000004053</v>
      </c>
      <c r="D1645" s="3" t="str">
        <f>"F800-21-0402-(AR 2.8)"</f>
        <v>F800-21-0402-(AR 2.8)</v>
      </c>
      <c r="E1645" s="3" t="str">
        <f>"Library alive!"</f>
        <v>Library alive!</v>
      </c>
      <c r="F1645" s="3" t="str">
        <f>"by John Sazaklis, illustrated by Katie Crumpton"</f>
        <v>by John Sazaklis, illustrated by Katie Crumpton</v>
      </c>
      <c r="G1645" s="3" t="str">
        <f>"Picture Window Books"</f>
        <v>Picture Window Books</v>
      </c>
      <c r="H1645" s="2" t="str">
        <f>"2022"</f>
        <v>2022</v>
      </c>
      <c r="I1645" s="3" t="str">
        <f>""</f>
        <v/>
      </c>
    </row>
    <row r="1646" spans="1:9" x14ac:dyDescent="0.3">
      <c r="A1646" s="2">
        <v>1645</v>
      </c>
      <c r="B1646" s="4" t="s">
        <v>29</v>
      </c>
      <c r="C1646" s="3" t="str">
        <f>"TFC000004054"</f>
        <v>TFC000004054</v>
      </c>
      <c r="D1646" s="3" t="str">
        <f>"F400-21-0359-(AR 2.8)"</f>
        <v>F400-21-0359-(AR 2.8)</v>
      </c>
      <c r="E1646" s="3" t="str">
        <f>"Is it living or nonliving?"</f>
        <v>Is it living or nonliving?</v>
      </c>
      <c r="F1646" s="3" t="str">
        <f>"by Lisa M. Bolt Simons"</f>
        <v>by Lisa M. Bolt Simons</v>
      </c>
      <c r="G1646" s="3" t="str">
        <f>"Pebble"</f>
        <v>Pebble</v>
      </c>
      <c r="H1646" s="2" t="str">
        <f>"2021"</f>
        <v>2021</v>
      </c>
      <c r="I1646" s="3" t="str">
        <f>""</f>
        <v/>
      </c>
    </row>
    <row r="1647" spans="1:9" x14ac:dyDescent="0.3">
      <c r="A1647" s="2">
        <v>1646</v>
      </c>
      <c r="B1647" s="4" t="s">
        <v>29</v>
      </c>
      <c r="C1647" s="3" t="str">
        <f>"TFC000004152"</f>
        <v>TFC000004152</v>
      </c>
      <c r="D1647" s="3" t="str">
        <f>"F800-21-0403-(AR 2.8)"</f>
        <v>F800-21-0403-(AR 2.8)</v>
      </c>
      <c r="E1647" s="3" t="str">
        <f>"(The)Wednesday surprise"</f>
        <v>(The)Wednesday surprise</v>
      </c>
      <c r="F1647" s="3" t="str">
        <f>"by Eve Bunting, illustrated by Donald Carrick"</f>
        <v>by Eve Bunting, illustrated by Donald Carrick</v>
      </c>
      <c r="G1647" s="3" t="str">
        <f>"Houghton Mifflin"</f>
        <v>Houghton Mifflin</v>
      </c>
      <c r="H1647" s="2" t="str">
        <f>"1989"</f>
        <v>1989</v>
      </c>
      <c r="I1647" s="3" t="str">
        <f>""</f>
        <v/>
      </c>
    </row>
    <row r="1648" spans="1:9" x14ac:dyDescent="0.3">
      <c r="A1648" s="2">
        <v>1647</v>
      </c>
      <c r="B1648" s="4" t="s">
        <v>29</v>
      </c>
      <c r="C1648" s="3" t="str">
        <f>"TFC000004154"</f>
        <v>TFC000004154</v>
      </c>
      <c r="D1648" s="3" t="str">
        <f>"F800-21-0405-(AR 2.8)"</f>
        <v>F800-21-0405-(AR 2.8)</v>
      </c>
      <c r="E1648" s="3" t="str">
        <f>"(The)hidden witch"</f>
        <v>(The)hidden witch</v>
      </c>
      <c r="F1648" s="3" t="str">
        <f>"Molly Knox Ostertag"</f>
        <v>Molly Knox Ostertag</v>
      </c>
      <c r="G1648" s="3" t="str">
        <f>"Graphix, an imprint of Scholastic"</f>
        <v>Graphix, an imprint of Scholastic</v>
      </c>
      <c r="H1648" s="2" t="str">
        <f>"2018"</f>
        <v>2018</v>
      </c>
      <c r="I1648" s="3" t="str">
        <f>""</f>
        <v/>
      </c>
    </row>
    <row r="1649" spans="1:9" x14ac:dyDescent="0.3">
      <c r="A1649" s="2">
        <v>1648</v>
      </c>
      <c r="B1649" s="4" t="s">
        <v>29</v>
      </c>
      <c r="C1649" s="3" t="str">
        <f>"TFC000004155"</f>
        <v>TFC000004155</v>
      </c>
      <c r="D1649" s="3" t="str">
        <f>"F800-21-0406-(AR 2.8)"</f>
        <v>F800-21-0406-(AR 2.8)</v>
      </c>
      <c r="E1649" s="3" t="str">
        <f>"PopularMMOs presents enter the mine"</f>
        <v>PopularMMOs presents enter the mine</v>
      </c>
      <c r="F1649" s="3" t="str">
        <f>"by Pat + Jen from PopularMMOs,  illustrated by Dani Jones"</f>
        <v>by Pat + Jen from PopularMMOs,  illustrated by Dani Jones</v>
      </c>
      <c r="G1649" s="3" t="str">
        <f>"Harper"</f>
        <v>Harper</v>
      </c>
      <c r="H1649" s="2" t="str">
        <f>"2019"</f>
        <v>2019</v>
      </c>
      <c r="I1649" s="3" t="str">
        <f>""</f>
        <v/>
      </c>
    </row>
    <row r="1650" spans="1:9" x14ac:dyDescent="0.3">
      <c r="A1650" s="2">
        <v>1649</v>
      </c>
      <c r="B1650" s="4" t="s">
        <v>29</v>
      </c>
      <c r="C1650" s="3" t="str">
        <f>"TFC000004156"</f>
        <v>TFC000004156</v>
      </c>
      <c r="D1650" s="3" t="str">
        <f>"F800-21-0407-(AR 2.8)"</f>
        <v>F800-21-0407-(AR 2.8)</v>
      </c>
      <c r="E1650" s="3" t="str">
        <f>"OH, WHAT A CHRISTMAS!"</f>
        <v>OH, WHAT A CHRISTMAS!</v>
      </c>
      <c r="F1650" s="3" t="str">
        <f>"by Michael Garland"</f>
        <v>by Michael Garland</v>
      </c>
      <c r="G1650" s="3" t="str">
        <f>"SCHOLASTIC"</f>
        <v>SCHOLASTIC</v>
      </c>
      <c r="H1650" s="2" t="str">
        <f>"2011"</f>
        <v>2011</v>
      </c>
      <c r="I1650" s="3" t="str">
        <f>""</f>
        <v/>
      </c>
    </row>
    <row r="1651" spans="1:9" x14ac:dyDescent="0.3">
      <c r="A1651" s="2">
        <v>1650</v>
      </c>
      <c r="B1651" s="4" t="s">
        <v>29</v>
      </c>
      <c r="C1651" s="3" t="str">
        <f>"TFC000004277"</f>
        <v>TFC000004277</v>
      </c>
      <c r="D1651" s="3" t="str">
        <f>"F800-22-0017-(AR 2.8)=2"</f>
        <v>F800-22-0017-(AR 2.8)=2</v>
      </c>
      <c r="E1651" s="3" t="str">
        <f>"Press start!. 10, Super rabbit boy's team-up trouble!"</f>
        <v>Press start!. 10, Super rabbit boy's team-up trouble!</v>
      </c>
      <c r="F1651" s="3" t="str">
        <f>"by Thomas Flintham"</f>
        <v>by Thomas Flintham</v>
      </c>
      <c r="G1651" s="3" t="str">
        <f>"Scholastic Inc"</f>
        <v>Scholastic Inc</v>
      </c>
      <c r="H1651" s="2" t="str">
        <f>"2021"</f>
        <v>2021</v>
      </c>
      <c r="I1651" s="3" t="str">
        <f>""</f>
        <v/>
      </c>
    </row>
    <row r="1652" spans="1:9" x14ac:dyDescent="0.3">
      <c r="A1652" s="2">
        <v>1651</v>
      </c>
      <c r="B1652" s="4" t="s">
        <v>29</v>
      </c>
      <c r="C1652" s="3" t="str">
        <f>"TFC000004279"</f>
        <v>TFC000004279</v>
      </c>
      <c r="D1652" s="3" t="str">
        <f>"F800-22-0014-(AR 2.8)"</f>
        <v>F800-22-0014-(AR 2.8)</v>
      </c>
      <c r="E1652" s="3" t="str">
        <f>"Press Start!. 2, Super rabbit boy powers up!"</f>
        <v>Press Start!. 2, Super rabbit boy powers up!</v>
      </c>
      <c r="F1652" s="3" t="str">
        <f>"by Thomas Flintham"</f>
        <v>by Thomas Flintham</v>
      </c>
      <c r="G1652" s="3" t="str">
        <f>"Branches"</f>
        <v>Branches</v>
      </c>
      <c r="H1652" s="2" t="str">
        <f>"2016"</f>
        <v>2016</v>
      </c>
      <c r="I1652" s="3" t="str">
        <f>""</f>
        <v/>
      </c>
    </row>
    <row r="1653" spans="1:9" x14ac:dyDescent="0.3">
      <c r="A1653" s="2">
        <v>1652</v>
      </c>
      <c r="B1653" s="4" t="s">
        <v>29</v>
      </c>
      <c r="C1653" s="3" t="str">
        <f>"TFC000004285"</f>
        <v>TFC000004285</v>
      </c>
      <c r="D1653" s="3" t="str">
        <f>"F800-22-0016-(AR 2.8)"</f>
        <v>F800-22-0016-(AR 2.8)</v>
      </c>
      <c r="E1653" s="3" t="str">
        <f>"Press Start!. 9, Super Rabbit Boy's Time Jump!"</f>
        <v>Press Start!. 9, Super Rabbit Boy's Time Jump!</v>
      </c>
      <c r="F1653" s="3" t="str">
        <f>"by Thomas Flintham"</f>
        <v>by Thomas Flintham</v>
      </c>
      <c r="G1653" s="3" t="str">
        <f>"Scholastic"</f>
        <v>Scholastic</v>
      </c>
      <c r="H1653" s="2" t="str">
        <f>"2020"</f>
        <v>2020</v>
      </c>
      <c r="I1653" s="3" t="str">
        <f>""</f>
        <v/>
      </c>
    </row>
    <row r="1654" spans="1:9" x14ac:dyDescent="0.3">
      <c r="A1654" s="2">
        <v>1653</v>
      </c>
      <c r="B1654" s="4" t="s">
        <v>29</v>
      </c>
      <c r="C1654" s="3" t="str">
        <f>"TFC000004445"</f>
        <v>TFC000004445</v>
      </c>
      <c r="D1654" s="3" t="str">
        <f>"F800-22-0254-(AR2.8)"</f>
        <v>F800-22-0254-(AR2.8)</v>
      </c>
      <c r="E1654" s="3" t="str">
        <f>"Rock what ya got"</f>
        <v>Rock what ya got</v>
      </c>
      <c r="F1654" s="3" t="str">
        <f>"by Samantha Berger, illustrated by Kerascoet"</f>
        <v>by Samantha Berger, illustrated by Kerascoet</v>
      </c>
      <c r="G1654" s="3" t="str">
        <f>"Little, Brown and Company"</f>
        <v>Little, Brown and Company</v>
      </c>
      <c r="H1654" s="2" t="str">
        <f>"2018"</f>
        <v>2018</v>
      </c>
      <c r="I1654" s="3" t="str">
        <f>""</f>
        <v/>
      </c>
    </row>
    <row r="1655" spans="1:9" x14ac:dyDescent="0.3">
      <c r="A1655" s="2">
        <v>1654</v>
      </c>
      <c r="B1655" s="4" t="s">
        <v>29</v>
      </c>
      <c r="C1655" s="3" t="str">
        <f>"TFC000004682"</f>
        <v>TFC000004682</v>
      </c>
      <c r="D1655" s="3" t="str">
        <f>"F800-22-0491-(AR2.8)"</f>
        <v>F800-22-0491-(AR2.8)</v>
      </c>
      <c r="E1655" s="3" t="str">
        <f>"Chunky"</f>
        <v>Chunky</v>
      </c>
      <c r="F1655" s="3" t="str">
        <f>"by Yehudi Mercado"</f>
        <v>by Yehudi Mercado</v>
      </c>
      <c r="G1655" s="3" t="str">
        <f>"Katherine Tegen Books"</f>
        <v>Katherine Tegen Books</v>
      </c>
      <c r="H1655" s="2" t="str">
        <f>"2021"</f>
        <v>2021</v>
      </c>
      <c r="I1655" s="3" t="str">
        <f>""</f>
        <v/>
      </c>
    </row>
    <row r="1656" spans="1:9" x14ac:dyDescent="0.3">
      <c r="A1656" s="2">
        <v>1655</v>
      </c>
      <c r="B1656" s="4" t="s">
        <v>29</v>
      </c>
      <c r="C1656" s="3" t="str">
        <f>"TFC000004443"</f>
        <v>TFC000004443</v>
      </c>
      <c r="D1656" s="3" t="str">
        <f>"F800-22-0252-(AR2.8)"</f>
        <v>F800-22-0252-(AR2.8)</v>
      </c>
      <c r="E1656" s="3" t="str">
        <f>"A Postcad from Canada"</f>
        <v>A Postcad from Canada</v>
      </c>
      <c r="F1656" s="3" t="str">
        <f>"written by Laurie Friedman, illustrated by Roberta Ravasio"</f>
        <v>written by Laurie Friedman, illustrated by Roberta Ravasio</v>
      </c>
      <c r="G1656" s="3" t="str">
        <f>"CrabtreePublishing"</f>
        <v>CrabtreePublishing</v>
      </c>
      <c r="H1656" s="2" t="str">
        <f>"2022"</f>
        <v>2022</v>
      </c>
      <c r="I1656" s="3" t="str">
        <f>""</f>
        <v/>
      </c>
    </row>
    <row r="1657" spans="1:9" x14ac:dyDescent="0.3">
      <c r="A1657" s="2">
        <v>1656</v>
      </c>
      <c r="B1657" s="4" t="s">
        <v>29</v>
      </c>
      <c r="C1657" s="3" t="str">
        <f>"TFC000004347"</f>
        <v>TFC000004347</v>
      </c>
      <c r="D1657" s="3" t="str">
        <f>"F800-22-0156-(AR2.8)"</f>
        <v>F800-22-0156-(AR2.8)</v>
      </c>
      <c r="E1657" s="3" t="str">
        <f>"(The)Matchbox diary"</f>
        <v>(The)Matchbox diary</v>
      </c>
      <c r="F1657" s="3" t="str">
        <f>"by Paul Fleischman, illustrated by Bagram Ibatoulline"</f>
        <v>by Paul Fleischman, illustrated by Bagram Ibatoulline</v>
      </c>
      <c r="G1657" s="3" t="str">
        <f>"Candlewick"</f>
        <v>Candlewick</v>
      </c>
      <c r="H1657" s="2" t="str">
        <f>"2016"</f>
        <v>2016</v>
      </c>
      <c r="I1657" s="3" t="str">
        <f>""</f>
        <v/>
      </c>
    </row>
    <row r="1658" spans="1:9" x14ac:dyDescent="0.3">
      <c r="A1658" s="2">
        <v>1657</v>
      </c>
      <c r="B1658" s="4" t="s">
        <v>29</v>
      </c>
      <c r="C1658" s="3" t="str">
        <f>"TFC000004444"</f>
        <v>TFC000004444</v>
      </c>
      <c r="D1658" s="3" t="str">
        <f>"F800-22-0253-(AR2.8)"</f>
        <v>F800-22-0253-(AR2.8)</v>
      </c>
      <c r="E1658" s="3" t="str">
        <f>"A Postcad from Japan"</f>
        <v>A Postcad from Japan</v>
      </c>
      <c r="F1658" s="3" t="str">
        <f>"written by Laurie Friedman, illustrated by Roberta Ravasio"</f>
        <v>written by Laurie Friedman, illustrated by Roberta Ravasio</v>
      </c>
      <c r="G1658" s="3" t="str">
        <f>"CrabtreePublishing"</f>
        <v>CrabtreePublishing</v>
      </c>
      <c r="H1658" s="2" t="str">
        <f>"2022"</f>
        <v>2022</v>
      </c>
      <c r="I1658" s="3" t="str">
        <f>""</f>
        <v/>
      </c>
    </row>
    <row r="1659" spans="1:9" x14ac:dyDescent="0.3">
      <c r="A1659" s="2">
        <v>1658</v>
      </c>
      <c r="B1659" s="4" t="s">
        <v>29</v>
      </c>
      <c r="C1659" s="3" t="str">
        <f>"TFC000004823"</f>
        <v>TFC000004823</v>
      </c>
      <c r="D1659" s="3" t="str">
        <f>"F800-22-0560-(AR2.8)"</f>
        <v>F800-22-0560-(AR2.8)</v>
      </c>
      <c r="E1659" s="3" t="str">
        <f>"Class act"</f>
        <v>Class act</v>
      </c>
      <c r="F1659" s="3" t="str">
        <f>"by Jerry Craft"</f>
        <v>by Jerry Craft</v>
      </c>
      <c r="G1659" s="3" t="str">
        <f>"by Harperalley"</f>
        <v>by Harperalley</v>
      </c>
      <c r="H1659" s="2" t="str">
        <f>"2020"</f>
        <v>2020</v>
      </c>
      <c r="I1659" s="3" t="str">
        <f>""</f>
        <v/>
      </c>
    </row>
    <row r="1660" spans="1:9" x14ac:dyDescent="0.3">
      <c r="A1660" s="2">
        <v>1659</v>
      </c>
      <c r="B1660" s="4" t="s">
        <v>29</v>
      </c>
      <c r="C1660" s="3" t="str">
        <f>"TFC000004681"</f>
        <v>TFC000004681</v>
      </c>
      <c r="D1660" s="3" t="str">
        <f>"F800-22-0490-(AR2.8)"</f>
        <v>F800-22-0490-(AR2.8)</v>
      </c>
      <c r="E1660" s="3" t="str">
        <f>"Bookmarks of Blood"</f>
        <v>Bookmarks of Blood</v>
      </c>
      <c r="F1660" s="3" t="str">
        <f>"by Michael Dahl, illustrated by Patricio Clarey"</f>
        <v>by Michael Dahl, illustrated by Patricio Clarey</v>
      </c>
      <c r="G1660" s="3" t="str">
        <f>"Stone Arch Books"</f>
        <v>Stone Arch Books</v>
      </c>
      <c r="H1660" s="2" t="str">
        <f>"2022"</f>
        <v>2022</v>
      </c>
      <c r="I1660" s="3" t="str">
        <f>""</f>
        <v/>
      </c>
    </row>
    <row r="1661" spans="1:9" x14ac:dyDescent="0.3">
      <c r="A1661" s="2">
        <v>1660</v>
      </c>
      <c r="B1661" s="4" t="s">
        <v>29</v>
      </c>
      <c r="C1661" s="3" t="str">
        <f>"TFC000004683"</f>
        <v>TFC000004683</v>
      </c>
      <c r="D1661" s="3" t="str">
        <f>"F800-22-0492-(AR2.8)"</f>
        <v>F800-22-0492-(AR2.8)</v>
      </c>
      <c r="E1661" s="3" t="str">
        <f>"(The)Haunted Handwriting"</f>
        <v>(The)Haunted Handwriting</v>
      </c>
      <c r="F1661" s="3" t="str">
        <f>"by Michael Dahl, illustrated by Patricio Clarey"</f>
        <v>by Michael Dahl, illustrated by Patricio Clarey</v>
      </c>
      <c r="G1661" s="3" t="str">
        <f>"Stone Arch Books"</f>
        <v>Stone Arch Books</v>
      </c>
      <c r="H1661" s="2" t="str">
        <f>"2022"</f>
        <v>2022</v>
      </c>
      <c r="I1661" s="3" t="str">
        <f>""</f>
        <v/>
      </c>
    </row>
    <row r="1662" spans="1:9" x14ac:dyDescent="0.3">
      <c r="A1662" s="2">
        <v>1661</v>
      </c>
      <c r="B1662" s="4" t="s">
        <v>29</v>
      </c>
      <c r="C1662" s="3" t="str">
        <f>"TFC000004925"</f>
        <v>TFC000004925</v>
      </c>
      <c r="D1662" s="3" t="str">
        <f>"F800-23-0029-(AR2.8)"</f>
        <v>F800-23-0029-(AR2.8)</v>
      </c>
      <c r="E1662" s="3" t="str">
        <f>"Arthur's Halloween"</f>
        <v>Arthur's Halloween</v>
      </c>
      <c r="F1662" s="3" t="str">
        <f>"by Marc Brown"</f>
        <v>by Marc Brown</v>
      </c>
      <c r="G1662" s="3" t="str">
        <f>"Little, Brown"</f>
        <v>Little, Brown</v>
      </c>
      <c r="H1662" s="2" t="str">
        <f>"1982"</f>
        <v>1982</v>
      </c>
      <c r="I1662" s="3" t="str">
        <f>""</f>
        <v/>
      </c>
    </row>
    <row r="1663" spans="1:9" x14ac:dyDescent="0.3">
      <c r="A1663" s="2">
        <v>1662</v>
      </c>
      <c r="B1663" s="4" t="s">
        <v>29</v>
      </c>
      <c r="C1663" s="3" t="str">
        <f>"TFC000004914"</f>
        <v>TFC000004914</v>
      </c>
      <c r="D1663" s="3" t="str">
        <f>"F800-23-0018-(AR2.8)"</f>
        <v>F800-23-0018-(AR2.8)</v>
      </c>
      <c r="E1663" s="3" t="str">
        <f>"Junie B. Jones is captain field day"</f>
        <v>Junie B. Jones is captain field day</v>
      </c>
      <c r="F1663" s="3" t="str">
        <f>"written by Barbara Park, illustrated by Denise Brunkus"</f>
        <v>written by Barbara Park, illustrated by Denise Brunkus</v>
      </c>
      <c r="G1663" s="3" t="str">
        <f>"Random House"</f>
        <v>Random House</v>
      </c>
      <c r="H1663" s="2" t="str">
        <f>"2001"</f>
        <v>2001</v>
      </c>
      <c r="I1663" s="3" t="str">
        <f>""</f>
        <v/>
      </c>
    </row>
    <row r="1664" spans="1:9" x14ac:dyDescent="0.3">
      <c r="A1664" s="2">
        <v>1663</v>
      </c>
      <c r="B1664" s="4" t="s">
        <v>29</v>
      </c>
      <c r="C1664" s="3" t="str">
        <f>"TFC000001080"</f>
        <v>TFC000001080</v>
      </c>
      <c r="D1664" s="3" t="str">
        <f>"F800-20-1195-1(AR 2.8)"</f>
        <v>F800-20-1195-1(AR 2.8)</v>
      </c>
      <c r="E1664" s="3" t="str">
        <f>"Mr. Putter &amp; Tabby paint the porch"</f>
        <v>Mr. Putter &amp; Tabby paint the porch</v>
      </c>
      <c r="F1664" s="3" t="str">
        <f>"Cynthia Rylant ; illustrated by Arthur Howard"</f>
        <v>Cynthia Rylant ; illustrated by Arthur Howard</v>
      </c>
      <c r="G1664" s="3" t="str">
        <f>"Harcourt Mifflin Harcourt"</f>
        <v>Harcourt Mifflin Harcourt</v>
      </c>
      <c r="H1664" s="2" t="str">
        <f>"2008"</f>
        <v>2008</v>
      </c>
      <c r="I1664" s="3" t="str">
        <f>""</f>
        <v/>
      </c>
    </row>
    <row r="1665" spans="1:9" x14ac:dyDescent="0.3">
      <c r="A1665" s="2">
        <v>1664</v>
      </c>
      <c r="B1665" s="4" t="s">
        <v>29</v>
      </c>
      <c r="C1665" s="3" t="str">
        <f>"TFC000004050"</f>
        <v>TFC000004050</v>
      </c>
      <c r="D1665" s="3" t="str">
        <f>"F800-21-0400-1(AR 2.8)"</f>
        <v>F800-21-0400-1(AR 2.8)</v>
      </c>
      <c r="E1665" s="3" t="str">
        <f>"Stranger things"</f>
        <v>Stranger things</v>
      </c>
      <c r="F1665" s="3" t="str">
        <f>"by Jody Houser, illustrated by Keith Champagne, Edgar Salazar"</f>
        <v>by Jody Houser, illustrated by Keith Champagne, Edgar Salazar</v>
      </c>
      <c r="G1665" s="3" t="str">
        <f>"Spotlight"</f>
        <v>Spotlight</v>
      </c>
      <c r="H1665" s="2" t="str">
        <f>"2021"</f>
        <v>2021</v>
      </c>
      <c r="I1665" s="3" t="str">
        <f>""</f>
        <v/>
      </c>
    </row>
    <row r="1666" spans="1:9" x14ac:dyDescent="0.3">
      <c r="A1666" s="2">
        <v>1665</v>
      </c>
      <c r="B1666" s="4" t="s">
        <v>29</v>
      </c>
      <c r="C1666" s="3" t="str">
        <f>"TFC000004153"</f>
        <v>TFC000004153</v>
      </c>
      <c r="D1666" s="3" t="str">
        <f>"F800-21-0404-1(AR 2.8)"</f>
        <v>F800-21-0404-1(AR 2.8)</v>
      </c>
      <c r="E1666" s="3" t="str">
        <f>"Awkward. 1"</f>
        <v>Awkward. 1</v>
      </c>
      <c r="F1666" s="3" t="str">
        <f>"Svetlana Chmakova"</f>
        <v>Svetlana Chmakova</v>
      </c>
      <c r="G1666" s="3" t="str">
        <f>"Yen Press"</f>
        <v>Yen Press</v>
      </c>
      <c r="H1666" s="2" t="str">
        <f>"2017"</f>
        <v>2017</v>
      </c>
      <c r="I1666" s="3" t="str">
        <f>""</f>
        <v/>
      </c>
    </row>
    <row r="1667" spans="1:9" x14ac:dyDescent="0.3">
      <c r="A1667" s="2">
        <v>1666</v>
      </c>
      <c r="B1667" s="4" t="s">
        <v>29</v>
      </c>
      <c r="C1667" s="3" t="str">
        <f>"TFC000004205"</f>
        <v>TFC000004205</v>
      </c>
      <c r="D1667" s="3" t="str">
        <f>"F800-22-0013-11(AR 2.8)"</f>
        <v>F800-22-0013-11(AR 2.8)</v>
      </c>
      <c r="E1667" s="3" t="str">
        <f>"Press start!. 11, Super cheat codes and secret modes!"</f>
        <v>Press start!. 11, Super cheat codes and secret modes!</v>
      </c>
      <c r="F1667" s="3" t="str">
        <f>"by Thomas Flintham"</f>
        <v>by Thomas Flintham</v>
      </c>
      <c r="G1667" s="3" t="str">
        <f>"Scholastic Inc"</f>
        <v>Scholastic Inc</v>
      </c>
      <c r="H1667" s="2" t="str">
        <f>"2021"</f>
        <v>2021</v>
      </c>
      <c r="I1667" s="3" t="str">
        <f>""</f>
        <v/>
      </c>
    </row>
    <row r="1668" spans="1:9" x14ac:dyDescent="0.3">
      <c r="A1668" s="2">
        <v>1667</v>
      </c>
      <c r="B1668" s="4">
        <v>2.8</v>
      </c>
      <c r="C1668" s="3" t="str">
        <f>"TFC000001081"</f>
        <v>TFC000001081</v>
      </c>
      <c r="D1668" s="3" t="str">
        <f>"F800-20-1196-2(AR 2.8)"</f>
        <v>F800-20-1196-2(AR 2.8)</v>
      </c>
      <c r="E1668" s="3" t="str">
        <f>"Mr. Putter &amp; Tabby pour the tea"</f>
        <v>Mr. Putter &amp; Tabby pour the tea</v>
      </c>
      <c r="F1668" s="3" t="str">
        <f>"Cynthia Rylant ; illustrated by Arthur Howard"</f>
        <v>Cynthia Rylant ; illustrated by Arthur Howard</v>
      </c>
      <c r="G1668" s="3" t="str">
        <f>"Harcourt Mifflin Harcourt"</f>
        <v>Harcourt Mifflin Harcourt</v>
      </c>
      <c r="H1668" s="2" t="str">
        <f>"2008"</f>
        <v>2008</v>
      </c>
      <c r="I1668" s="3" t="str">
        <f>""</f>
        <v/>
      </c>
    </row>
    <row r="1669" spans="1:9" x14ac:dyDescent="0.3">
      <c r="A1669" s="2">
        <v>1668</v>
      </c>
      <c r="B1669" s="4">
        <v>2.8</v>
      </c>
      <c r="C1669" s="3" t="str">
        <f>"TFC000001078"</f>
        <v>TFC000001078</v>
      </c>
      <c r="D1669" s="3" t="str">
        <f>"F800-20-1193-3(AR 2.8)"</f>
        <v>F800-20-1193-3(AR 2.8)</v>
      </c>
      <c r="E1669" s="3" t="str">
        <f>"Mr. Putter &amp; Tabby walk the dog"</f>
        <v>Mr. Putter &amp; Tabby walk the dog</v>
      </c>
      <c r="F1669" s="3" t="str">
        <f>"Cynthia Rylant ; illustrated by Arthur Howard"</f>
        <v>Cynthia Rylant ; illustrated by Arthur Howard</v>
      </c>
      <c r="G1669" s="3" t="str">
        <f>"Harcourt Mifflin Harcourt"</f>
        <v>Harcourt Mifflin Harcourt</v>
      </c>
      <c r="H1669" s="2" t="str">
        <f>"2008"</f>
        <v>2008</v>
      </c>
      <c r="I1669" s="3" t="str">
        <f>""</f>
        <v/>
      </c>
    </row>
    <row r="1670" spans="1:9" x14ac:dyDescent="0.3">
      <c r="A1670" s="2">
        <v>1669</v>
      </c>
      <c r="B1670" s="4">
        <v>2.8</v>
      </c>
      <c r="C1670" s="3" t="str">
        <f>"TFC000001079"</f>
        <v>TFC000001079</v>
      </c>
      <c r="D1670" s="3" t="str">
        <f>"F800-20-1194-4(AR 2.8)"</f>
        <v>F800-20-1194-4(AR 2.8)</v>
      </c>
      <c r="E1670" s="3" t="str">
        <f>"Mr. Putter &amp; Tabby bake the cake"</f>
        <v>Mr. Putter &amp; Tabby bake the cake</v>
      </c>
      <c r="F1670" s="3" t="str">
        <f>"Cynthia Rylant ; illustrated by Arthur Howard"</f>
        <v>Cynthia Rylant ; illustrated by Arthur Howard</v>
      </c>
      <c r="G1670" s="3" t="str">
        <f>"Harcourt Mifflin Harcourt"</f>
        <v>Harcourt Mifflin Harcourt</v>
      </c>
      <c r="H1670" s="2" t="str">
        <f>"2008"</f>
        <v>2008</v>
      </c>
      <c r="I1670" s="3" t="str">
        <f>""</f>
        <v/>
      </c>
    </row>
    <row r="1671" spans="1:9" x14ac:dyDescent="0.3">
      <c r="A1671" s="2">
        <v>1670</v>
      </c>
      <c r="B1671" s="4" t="s">
        <v>29</v>
      </c>
      <c r="C1671" s="3" t="str">
        <f>"TFC000003985"</f>
        <v>TFC000003985</v>
      </c>
      <c r="D1671" s="3" t="str">
        <f>"F800-21-0398-9(AR 2.8)"</f>
        <v>F800-21-0398-9(AR 2.8)</v>
      </c>
      <c r="E1671" s="3" t="str">
        <f>"(The)Baby-sitters Club. 9, Claudia and the new girl"</f>
        <v>(The)Baby-sitters Club. 9, Claudia and the new girl</v>
      </c>
      <c r="F1671" s="3" t="str">
        <f>"by Ann M. Martin, a graphic novel by Gale Galligan, with color by Braden Lamb"</f>
        <v>by Ann M. Martin, a graphic novel by Gale Galligan, with color by Braden Lamb</v>
      </c>
      <c r="G1671" s="3" t="str">
        <f>"Graphix"</f>
        <v>Graphix</v>
      </c>
      <c r="H1671" s="2" t="str">
        <f>"2019"</f>
        <v>2019</v>
      </c>
      <c r="I1671" s="3" t="str">
        <f>""</f>
        <v/>
      </c>
    </row>
    <row r="1672" spans="1:9" x14ac:dyDescent="0.3">
      <c r="A1672" s="2">
        <v>1671</v>
      </c>
      <c r="B1672" s="4" t="s">
        <v>30</v>
      </c>
      <c r="C1672" s="3" t="str">
        <f>"TFC000001183"</f>
        <v>TFC000001183</v>
      </c>
      <c r="D1672" s="3" t="str">
        <f>"F800-20-1314-(AR 2.9)"</f>
        <v>F800-20-1314-(AR 2.9)</v>
      </c>
      <c r="E1672" s="3" t="str">
        <f>"Animal legends"</f>
        <v>Animal legends</v>
      </c>
      <c r="F1672" s="3" t="str">
        <f>"retold by Carol Watson ; illustrated by Nick Price"</f>
        <v>retold by Carol Watson ; illustrated by Nick Price</v>
      </c>
      <c r="G1672" s="3" t="str">
        <f>"Usborne"</f>
        <v>Usborne</v>
      </c>
      <c r="H1672" s="2" t="str">
        <f>"2007"</f>
        <v>2007</v>
      </c>
      <c r="I1672" s="2" t="s">
        <v>2</v>
      </c>
    </row>
    <row r="1673" spans="1:9" x14ac:dyDescent="0.3">
      <c r="A1673" s="2">
        <v>1672</v>
      </c>
      <c r="B1673" s="4" t="s">
        <v>30</v>
      </c>
      <c r="C1673" s="3" t="str">
        <f>"TFC000001145"</f>
        <v>TFC000001145</v>
      </c>
      <c r="D1673" s="3" t="str">
        <f>"F800-20-1276-(AR 2.9)"</f>
        <v>F800-20-1276-(AR 2.9)</v>
      </c>
      <c r="E1673" s="3" t="str">
        <f>"(The)foolish tortoise"</f>
        <v>(The)foolish tortoise</v>
      </c>
      <c r="F1673" s="3" t="str">
        <f>"written by Richard Buckley ; illustrated by Eric Carle"</f>
        <v>written by Richard Buckley ; illustrated by Eric Carle</v>
      </c>
      <c r="G1673" s="3" t="str">
        <f>"Little Simon"</f>
        <v>Little Simon</v>
      </c>
      <c r="H1673" s="2" t="str">
        <f>"2013"</f>
        <v>2013</v>
      </c>
      <c r="I1673" s="2" t="s">
        <v>2</v>
      </c>
    </row>
    <row r="1674" spans="1:9" x14ac:dyDescent="0.3">
      <c r="A1674" s="2">
        <v>1673</v>
      </c>
      <c r="B1674" s="4" t="s">
        <v>30</v>
      </c>
      <c r="C1674" s="3" t="str">
        <f>"TFC000001146"</f>
        <v>TFC000001146</v>
      </c>
      <c r="D1674" s="3" t="str">
        <f>"F800-20-1277-(AR 2.9)"</f>
        <v>F800-20-1277-(AR 2.9)</v>
      </c>
      <c r="E1674" s="3" t="str">
        <f>"(The)dinosaurs next door"</f>
        <v>(The)dinosaurs next door</v>
      </c>
      <c r="F1674" s="3" t="str">
        <f>"by Harriet Castor ; adapted by Lesley Sims ; illustrated by Teri Gower"</f>
        <v>by Harriet Castor ; adapted by Lesley Sims ; illustrated by Teri Gower</v>
      </c>
      <c r="G1674" s="3" t="str">
        <f>"Usborne"</f>
        <v>Usborne</v>
      </c>
      <c r="H1674" s="2" t="str">
        <f>"2002"</f>
        <v>2002</v>
      </c>
      <c r="I1674" s="2" t="s">
        <v>2</v>
      </c>
    </row>
    <row r="1675" spans="1:9" x14ac:dyDescent="0.3">
      <c r="A1675" s="2">
        <v>1674</v>
      </c>
      <c r="B1675" s="4" t="s">
        <v>30</v>
      </c>
      <c r="C1675" s="3" t="str">
        <f>"TFC000001175"</f>
        <v>TFC000001175</v>
      </c>
      <c r="D1675" s="3" t="str">
        <f>"F800-20-1306-(AR 2.9)"</f>
        <v>F800-20-1306-(AR 2.9)</v>
      </c>
      <c r="E1675" s="3" t="str">
        <f>"(Stories of)princes &amp; princesses"</f>
        <v>(Stories of)princes &amp; princesses</v>
      </c>
      <c r="F1675" s="3" t="str">
        <f>"by Christopher Rawson ; Lesley Sims adapted by ; illustrated by Stephen Cartwright"</f>
        <v>by Christopher Rawson ; Lesley Sims adapted by ; illustrated by Stephen Cartwright</v>
      </c>
      <c r="G1675" s="3" t="str">
        <f>"Usborne"</f>
        <v>Usborne</v>
      </c>
      <c r="H1675" s="2" t="str">
        <f>"2007"</f>
        <v>2007</v>
      </c>
      <c r="I1675" s="2" t="s">
        <v>2</v>
      </c>
    </row>
    <row r="1676" spans="1:9" x14ac:dyDescent="0.3">
      <c r="A1676" s="2">
        <v>1675</v>
      </c>
      <c r="B1676" s="4" t="s">
        <v>30</v>
      </c>
      <c r="C1676" s="3" t="str">
        <f>"TFC000001174"</f>
        <v>TFC000001174</v>
      </c>
      <c r="D1676" s="3" t="str">
        <f>"F800-20-1305-(AR 2.9)"</f>
        <v>F800-20-1305-(AR 2.9)</v>
      </c>
      <c r="E1676" s="3" t="str">
        <f>"(Stories of)dragons"</f>
        <v>(Stories of)dragons</v>
      </c>
      <c r="F1676" s="3" t="str">
        <f>"by Christopher Rawson ; adapted by Lesley Sims ; illustrated by Stephen Cartwright"</f>
        <v>by Christopher Rawson ; adapted by Lesley Sims ; illustrated by Stephen Cartwright</v>
      </c>
      <c r="G1676" s="3" t="str">
        <f>"Usborne"</f>
        <v>Usborne</v>
      </c>
      <c r="H1676" s="2" t="str">
        <f>"2007"</f>
        <v>2007</v>
      </c>
      <c r="I1676" s="2" t="s">
        <v>2</v>
      </c>
    </row>
    <row r="1677" spans="1:9" x14ac:dyDescent="0.3">
      <c r="A1677" s="2">
        <v>1676</v>
      </c>
      <c r="B1677" s="4" t="s">
        <v>30</v>
      </c>
      <c r="C1677" s="3" t="str">
        <f>"TFC000001168"</f>
        <v>TFC000001168</v>
      </c>
      <c r="D1677" s="3" t="str">
        <f>"F800-20-1299-(AR 2.9)"</f>
        <v>F800-20-1299-(AR 2.9)</v>
      </c>
      <c r="E1677" s="3" t="str">
        <f>"Junie B. Jones has a peep in her pocket"</f>
        <v>Junie B. Jones has a peep in her pocket</v>
      </c>
      <c r="F1677" s="3" t="str">
        <f>"by Barbara Park ; illustrated by Denise Brunkus"</f>
        <v>by Barbara Park ; illustrated by Denise Brunkus</v>
      </c>
      <c r="G1677" s="3" t="str">
        <f>"Random House"</f>
        <v>Random House</v>
      </c>
      <c r="H1677" s="2" t="str">
        <f>"2000"</f>
        <v>2000</v>
      </c>
      <c r="I1677" s="2" t="s">
        <v>2</v>
      </c>
    </row>
    <row r="1678" spans="1:9" x14ac:dyDescent="0.3">
      <c r="A1678" s="2">
        <v>1677</v>
      </c>
      <c r="B1678" s="4" t="s">
        <v>30</v>
      </c>
      <c r="C1678" s="3" t="str">
        <f>"TFC000001167"</f>
        <v>TFC000001167</v>
      </c>
      <c r="D1678" s="3" t="str">
        <f>"F800-20-1298-(AR 2.9)"</f>
        <v>F800-20-1298-(AR 2.9)</v>
      </c>
      <c r="E1678" s="3" t="str">
        <f>"Junie B. Jones and the mushy gushy valentime"</f>
        <v>Junie B. Jones and the mushy gushy valentime</v>
      </c>
      <c r="F1678" s="3" t="str">
        <f>"by Barbara Park ; illustrated by Denise Brunkus"</f>
        <v>by Barbara Park ; illustrated by Denise Brunkus</v>
      </c>
      <c r="G1678" s="3" t="str">
        <f>"Random House"</f>
        <v>Random House</v>
      </c>
      <c r="H1678" s="2" t="str">
        <f>"1999"</f>
        <v>1999</v>
      </c>
      <c r="I1678" s="2" t="s">
        <v>2</v>
      </c>
    </row>
    <row r="1679" spans="1:9" x14ac:dyDescent="0.3">
      <c r="A1679" s="2">
        <v>1678</v>
      </c>
      <c r="B1679" s="4" t="s">
        <v>30</v>
      </c>
      <c r="C1679" s="3" t="str">
        <f>"TFC000001166"</f>
        <v>TFC000001166</v>
      </c>
      <c r="D1679" s="3" t="str">
        <f>"F800-20-1297-(AR 2.9)"</f>
        <v>F800-20-1297-(AR 2.9)</v>
      </c>
      <c r="E1679" s="3" t="str">
        <f>"Junie B. Jones and some sneaky peeky spying"</f>
        <v>Junie B. Jones and some sneaky peeky spying</v>
      </c>
      <c r="F1679" s="3" t="str">
        <f>"by Barbara Park ; illustrated by Denise Brunkus"</f>
        <v>by Barbara Park ; illustrated by Denise Brunkus</v>
      </c>
      <c r="G1679" s="3" t="str">
        <f>"Random House"</f>
        <v>Random House</v>
      </c>
      <c r="H1679" s="2" t="str">
        <f>"1994"</f>
        <v>1994</v>
      </c>
      <c r="I1679" s="2" t="s">
        <v>2</v>
      </c>
    </row>
    <row r="1680" spans="1:9" x14ac:dyDescent="0.3">
      <c r="A1680" s="2">
        <v>1679</v>
      </c>
      <c r="B1680" s="4" t="s">
        <v>30</v>
      </c>
      <c r="C1680" s="3" t="str">
        <f>"TFC000001123"</f>
        <v>TFC000001123</v>
      </c>
      <c r="D1680" s="3" t="str">
        <f>"F800-20-1254-(AR 2.9)"</f>
        <v>F800-20-1254-(AR 2.9)</v>
      </c>
      <c r="E1680" s="3" t="str">
        <f>"Frosty the snowman"</f>
        <v>Frosty the snowman</v>
      </c>
      <c r="F1680" s="3" t="str">
        <f>"performed by Kenny Loggins ; illustrated by Wade Zahares"</f>
        <v>performed by Kenny Loggins ; illustrated by Wade Zahares</v>
      </c>
      <c r="G1680" s="3" t="str">
        <f>"An Imagine Book"</f>
        <v>An Imagine Book</v>
      </c>
      <c r="H1680" s="2" t="str">
        <f>"2013"</f>
        <v>2013</v>
      </c>
      <c r="I1680" s="2" t="s">
        <v>2</v>
      </c>
    </row>
    <row r="1681" spans="1:9" x14ac:dyDescent="0.3">
      <c r="A1681" s="2">
        <v>1680</v>
      </c>
      <c r="B1681" s="4" t="s">
        <v>30</v>
      </c>
      <c r="C1681" s="3" t="str">
        <f>"TFC000004056"</f>
        <v>TFC000004056</v>
      </c>
      <c r="D1681" s="3" t="str">
        <f>"F800-21-0455-(AR 2.9)"</f>
        <v>F800-21-0455-(AR 2.9)</v>
      </c>
      <c r="E1681" s="3" t="str">
        <f>"Clash"</f>
        <v>Clash</v>
      </c>
      <c r="F1681" s="3" t="str">
        <f>"by Kayla Miller"</f>
        <v>by Kayla Miller</v>
      </c>
      <c r="G1681" s="3" t="str">
        <f>"Houghton Mifflin Harcourt"</f>
        <v>Houghton Mifflin Harcourt</v>
      </c>
      <c r="H1681" s="2" t="str">
        <f>"2021"</f>
        <v>2021</v>
      </c>
      <c r="I1681" s="3" t="str">
        <f>""</f>
        <v/>
      </c>
    </row>
    <row r="1682" spans="1:9" x14ac:dyDescent="0.3">
      <c r="A1682" s="2">
        <v>1681</v>
      </c>
      <c r="B1682" s="4" t="s">
        <v>30</v>
      </c>
      <c r="C1682" s="3" t="str">
        <f>"TFC000004055"</f>
        <v>TFC000004055</v>
      </c>
      <c r="D1682" s="3" t="str">
        <f>"F800-21-0454-(AR 2.9)"</f>
        <v>F800-21-0454-(AR 2.9)</v>
      </c>
      <c r="E1682" s="3" t="str">
        <f>"Shark Summer"</f>
        <v>Shark Summer</v>
      </c>
      <c r="F1682" s="3" t="str">
        <f>"by Ira Marcks, color assistance by Emily Argoff"</f>
        <v>by Ira Marcks, color assistance by Emily Argoff</v>
      </c>
      <c r="G1682" s="3" t="str">
        <f>"Little, Brown and Company"</f>
        <v>Little, Brown and Company</v>
      </c>
      <c r="H1682" s="2" t="str">
        <f>"2021"</f>
        <v>2021</v>
      </c>
      <c r="I1682" s="3" t="str">
        <f>""</f>
        <v/>
      </c>
    </row>
    <row r="1683" spans="1:9" x14ac:dyDescent="0.3">
      <c r="A1683" s="2">
        <v>1682</v>
      </c>
      <c r="B1683" s="4" t="s">
        <v>30</v>
      </c>
      <c r="C1683" s="3" t="str">
        <f>"TFC000001096"</f>
        <v>TFC000001096</v>
      </c>
      <c r="D1683" s="3" t="str">
        <f>"F400-20-1226-(AR 2.9)"</f>
        <v>F400-20-1226-(AR 2.9)</v>
      </c>
      <c r="E1683" s="3" t="str">
        <f>"Same old Horse"</f>
        <v>Same old Horse</v>
      </c>
      <c r="F1683" s="3" t="str">
        <f>"by Stuart J. Murphy ; illustrated by Steve Bjorkman"</f>
        <v>by Stuart J. Murphy ; illustrated by Steve Bjorkman</v>
      </c>
      <c r="G1683" s="3" t="str">
        <f>"HarperCollins"</f>
        <v>HarperCollins</v>
      </c>
      <c r="H1683" s="2" t="str">
        <f>"2005"</f>
        <v>2005</v>
      </c>
      <c r="I1683" s="3" t="str">
        <f>""</f>
        <v/>
      </c>
    </row>
    <row r="1684" spans="1:9" x14ac:dyDescent="0.3">
      <c r="A1684" s="2">
        <v>1683</v>
      </c>
      <c r="B1684" s="4" t="s">
        <v>30</v>
      </c>
      <c r="C1684" s="3" t="str">
        <f>"TFC000001097"</f>
        <v>TFC000001097</v>
      </c>
      <c r="D1684" s="3" t="str">
        <f>"F400-20-1227-(AR 2.9)"</f>
        <v>F400-20-1227-(AR 2.9)</v>
      </c>
      <c r="E1684" s="3" t="str">
        <f>"Sounds all around"</f>
        <v>Sounds all around</v>
      </c>
      <c r="F1684" s="3" t="str">
        <f>"by Wendy Pfeffer ; illustrated by Anna Chernyshova"</f>
        <v>by Wendy Pfeffer ; illustrated by Anna Chernyshova</v>
      </c>
      <c r="G1684" s="3" t="str">
        <f>"Harper"</f>
        <v>Harper</v>
      </c>
      <c r="H1684" s="2" t="str">
        <f>"2016"</f>
        <v>2016</v>
      </c>
      <c r="I1684" s="3" t="str">
        <f>""</f>
        <v/>
      </c>
    </row>
    <row r="1685" spans="1:9" x14ac:dyDescent="0.3">
      <c r="A1685" s="2">
        <v>1684</v>
      </c>
      <c r="B1685" s="4" t="s">
        <v>30</v>
      </c>
      <c r="C1685" s="3" t="str">
        <f>"TFC000001098"</f>
        <v>TFC000001098</v>
      </c>
      <c r="D1685" s="3" t="str">
        <f>"F600-20-1229-(AR 2.9)"</f>
        <v>F600-20-1229-(AR 2.9)</v>
      </c>
      <c r="E1685" s="3" t="str">
        <f>"(A)boy named boomer"</f>
        <v>(A)boy named boomer</v>
      </c>
      <c r="F1685" s="3" t="str">
        <f>"by NFL Quarterback Boomer Esiason ; illustrated by Jacqueline Rogers"</f>
        <v>by NFL Quarterback Boomer Esiason ; illustrated by Jacqueline Rogers</v>
      </c>
      <c r="G1685" s="3" t="str">
        <f>"Scholastic"</f>
        <v>Scholastic</v>
      </c>
      <c r="H1685" s="2" t="str">
        <f>"1995"</f>
        <v>1995</v>
      </c>
      <c r="I1685" s="3" t="str">
        <f>""</f>
        <v/>
      </c>
    </row>
    <row r="1686" spans="1:9" x14ac:dyDescent="0.3">
      <c r="A1686" s="2">
        <v>1685</v>
      </c>
      <c r="B1686" s="4" t="s">
        <v>30</v>
      </c>
      <c r="C1686" s="3" t="str">
        <f>"TFC000001099"</f>
        <v>TFC000001099</v>
      </c>
      <c r="D1686" s="3" t="str">
        <f>"F800-20-1230-(AR 2.9)"</f>
        <v>F800-20-1230-(AR 2.9)</v>
      </c>
      <c r="E1686" s="3" t="str">
        <f>"(The)hidden stairs and the magic carpet"</f>
        <v>(The)hidden stairs and the magic carpet</v>
      </c>
      <c r="F1686" s="3" t="str">
        <f>"by Tony Abbott ; illustrated by Tim Jessell"</f>
        <v>by Tony Abbott ; illustrated by Tim Jessell</v>
      </c>
      <c r="G1686" s="3" t="str">
        <f>"Scholastic"</f>
        <v>Scholastic</v>
      </c>
      <c r="H1686" s="2" t="str">
        <f>"1999"</f>
        <v>1999</v>
      </c>
      <c r="I1686" s="3" t="str">
        <f>""</f>
        <v/>
      </c>
    </row>
    <row r="1687" spans="1:9" x14ac:dyDescent="0.3">
      <c r="A1687" s="2">
        <v>1686</v>
      </c>
      <c r="B1687" s="4" t="s">
        <v>30</v>
      </c>
      <c r="C1687" s="3" t="str">
        <f>"TFC000001100"</f>
        <v>TFC000001100</v>
      </c>
      <c r="D1687" s="3" t="str">
        <f>"F800-20-1231-(AR 2.9)"</f>
        <v>F800-20-1231-(AR 2.9)</v>
      </c>
      <c r="E1687" s="3" t="str">
        <f>"(The)fire cat"</f>
        <v>(The)fire cat</v>
      </c>
      <c r="F1687" s="3" t="str">
        <f>"story and pictures by Esther Averill"</f>
        <v>story and pictures by Esther Averill</v>
      </c>
      <c r="G1687" s="3" t="str">
        <f>"HarperTrophy:Moonjin Media"</f>
        <v>HarperTrophy:Moonjin Media</v>
      </c>
      <c r="H1687" s="2" t="str">
        <f>"1988"</f>
        <v>1988</v>
      </c>
      <c r="I1687" s="3" t="str">
        <f>""</f>
        <v/>
      </c>
    </row>
    <row r="1688" spans="1:9" x14ac:dyDescent="0.3">
      <c r="A1688" s="2">
        <v>1687</v>
      </c>
      <c r="B1688" s="4" t="s">
        <v>30</v>
      </c>
      <c r="C1688" s="3" t="str">
        <f>"TFC000001101"</f>
        <v>TFC000001101</v>
      </c>
      <c r="D1688" s="3" t="str">
        <f>"F800-20-1232-(AR 2.9)"</f>
        <v>F800-20-1232-(AR 2.9)</v>
      </c>
      <c r="E1688" s="3" t="str">
        <f>"Abigail takes the wheel"</f>
        <v>Abigail takes the wheel</v>
      </c>
      <c r="F1688" s="3" t="str">
        <f>"story by Avi ; pictures by Don Bolognese"</f>
        <v>story by Avi ; pictures by Don Bolognese</v>
      </c>
      <c r="G1688" s="3" t="str">
        <f>"HarperTrophy"</f>
        <v>HarperTrophy</v>
      </c>
      <c r="H1688" s="2" t="str">
        <f>"1999"</f>
        <v>1999</v>
      </c>
      <c r="I1688" s="3" t="str">
        <f>""</f>
        <v/>
      </c>
    </row>
    <row r="1689" spans="1:9" x14ac:dyDescent="0.3">
      <c r="A1689" s="2">
        <v>1688</v>
      </c>
      <c r="B1689" s="4" t="s">
        <v>30</v>
      </c>
      <c r="C1689" s="3" t="str">
        <f>"TFC000001102"</f>
        <v>TFC000001102</v>
      </c>
      <c r="D1689" s="3" t="str">
        <f>"F800-20-1233-(AR 2.9)"</f>
        <v>F800-20-1233-(AR 2.9)</v>
      </c>
      <c r="E1689" s="3" t="str">
        <f>"Dinosaurs, dinosaurs"</f>
        <v>Dinosaurs, dinosaurs</v>
      </c>
      <c r="F1689" s="3" t="str">
        <f>"by Byron Barton"</f>
        <v>by Byron Barton</v>
      </c>
      <c r="G1689" s="3" t="str">
        <f>"HarperFestival"</f>
        <v>HarperFestival</v>
      </c>
      <c r="H1689" s="2" t="str">
        <f>"1994"</f>
        <v>1994</v>
      </c>
      <c r="I1689" s="3" t="str">
        <f>""</f>
        <v/>
      </c>
    </row>
    <row r="1690" spans="1:9" x14ac:dyDescent="0.3">
      <c r="A1690" s="2">
        <v>1689</v>
      </c>
      <c r="B1690" s="4" t="s">
        <v>30</v>
      </c>
      <c r="C1690" s="3" t="str">
        <f>"TFC000001104"</f>
        <v>TFC000001104</v>
      </c>
      <c r="D1690" s="3" t="str">
        <f>"F800-20-1235-(AR 2.9)"</f>
        <v>F800-20-1235-(AR 2.9)</v>
      </c>
      <c r="E1690" s="3" t="str">
        <f>"Small wolf"</f>
        <v>Small wolf</v>
      </c>
      <c r="F1690" s="3" t="str">
        <f>"by Nathaniel Benchley ; pictures by Joan Sandin"</f>
        <v>by Nathaniel Benchley ; pictures by Joan Sandin</v>
      </c>
      <c r="G1690" s="3" t="str">
        <f>"HarperTrophy"</f>
        <v>HarperTrophy</v>
      </c>
      <c r="H1690" s="2" t="str">
        <f>"1994"</f>
        <v>1994</v>
      </c>
      <c r="I1690" s="3" t="str">
        <f>""</f>
        <v/>
      </c>
    </row>
    <row r="1691" spans="1:9" x14ac:dyDescent="0.3">
      <c r="A1691" s="2">
        <v>1690</v>
      </c>
      <c r="B1691" s="4" t="s">
        <v>30</v>
      </c>
      <c r="C1691" s="3" t="str">
        <f>"TFC000001105"</f>
        <v>TFC000001105</v>
      </c>
      <c r="D1691" s="3" t="str">
        <f>"F800-20-1236-(AR 2.9)"</f>
        <v>F800-20-1236-(AR 2.9)</v>
      </c>
      <c r="E1691" s="3" t="str">
        <f>"Arthur goes to camp"</f>
        <v>Arthur goes to camp</v>
      </c>
      <c r="F1691" s="3" t="str">
        <f>"by Marc Brown"</f>
        <v>by Marc Brown</v>
      </c>
      <c r="G1691" s="3" t="str">
        <f>"Little, Brown and Company"</f>
        <v>Little, Brown and Company</v>
      </c>
      <c r="H1691" s="2" t="str">
        <f>"2011"</f>
        <v>2011</v>
      </c>
      <c r="I1691" s="3" t="str">
        <f>""</f>
        <v/>
      </c>
    </row>
    <row r="1692" spans="1:9" x14ac:dyDescent="0.3">
      <c r="A1692" s="2">
        <v>1691</v>
      </c>
      <c r="B1692" s="4" t="s">
        <v>30</v>
      </c>
      <c r="C1692" s="3" t="str">
        <f>"TFC000001107"</f>
        <v>TFC000001107</v>
      </c>
      <c r="D1692" s="3" t="str">
        <f>"F800-20-1238-(AR 2.9)"</f>
        <v>F800-20-1238-(AR 2.9)</v>
      </c>
      <c r="E1692" s="3" t="str">
        <f>"(A)lion to guard us"</f>
        <v>(A)lion to guard us</v>
      </c>
      <c r="F1692" s="3" t="str">
        <f>"by Clyde Robert Bulla ; illustrated by Michele Chessare"</f>
        <v>by Clyde Robert Bulla ; illustrated by Michele Chessare</v>
      </c>
      <c r="G1692" s="3" t="str">
        <f>"Harper"</f>
        <v>Harper</v>
      </c>
      <c r="H1692" s="2" t="str">
        <f>"2018"</f>
        <v>2018</v>
      </c>
      <c r="I1692" s="3" t="str">
        <f>""</f>
        <v/>
      </c>
    </row>
    <row r="1693" spans="1:9" x14ac:dyDescent="0.3">
      <c r="A1693" s="2">
        <v>1692</v>
      </c>
      <c r="B1693" s="4" t="s">
        <v>30</v>
      </c>
      <c r="C1693" s="3" t="str">
        <f>"TFC000001109"</f>
        <v>TFC000001109</v>
      </c>
      <c r="D1693" s="3" t="str">
        <f>"F800-20-1240-(AR 2.9)"</f>
        <v>F800-20-1240-(AR 2.9)</v>
      </c>
      <c r="E1693" s="3" t="str">
        <f>"Dr. Jekyll, orthodontist"</f>
        <v>Dr. Jekyll, orthodontist</v>
      </c>
      <c r="F1693" s="3" t="str">
        <f>"by Dan Greenburg ; illustrated by Jack E. Davis"</f>
        <v>by Dan Greenburg ; illustrated by Jack E. Davis</v>
      </c>
      <c r="G1693" s="3" t="str">
        <f>"Grosset &amp; Dunlap"</f>
        <v>Grosset &amp; Dunlap</v>
      </c>
      <c r="H1693" s="2" t="str">
        <f>"1997"</f>
        <v>1997</v>
      </c>
      <c r="I1693" s="3" t="str">
        <f>""</f>
        <v/>
      </c>
    </row>
    <row r="1694" spans="1:9" x14ac:dyDescent="0.3">
      <c r="A1694" s="2">
        <v>1693</v>
      </c>
      <c r="B1694" s="4" t="s">
        <v>30</v>
      </c>
      <c r="C1694" s="3" t="str">
        <f>"TFC000001110"</f>
        <v>TFC000001110</v>
      </c>
      <c r="D1694" s="3" t="str">
        <f>"F800-20-1241-(AR 2.9)"</f>
        <v>F800-20-1241-(AR 2.9)</v>
      </c>
      <c r="E1694" s="3" t="str">
        <f>"My son, the time traveler"</f>
        <v>My son, the time traveler</v>
      </c>
      <c r="F1694" s="3" t="str">
        <f>"by Dan Greenburg ; illustrated by Jack E. Davis"</f>
        <v>by Dan Greenburg ; illustrated by Jack E. Davis</v>
      </c>
      <c r="G1694" s="3" t="str">
        <f>"Grosset &amp; Dunlap"</f>
        <v>Grosset &amp; Dunlap</v>
      </c>
      <c r="H1694" s="2" t="str">
        <f>"2006"</f>
        <v>2006</v>
      </c>
      <c r="I1694" s="3" t="str">
        <f>""</f>
        <v/>
      </c>
    </row>
    <row r="1695" spans="1:9" x14ac:dyDescent="0.3">
      <c r="A1695" s="2">
        <v>1694</v>
      </c>
      <c r="B1695" s="4" t="s">
        <v>30</v>
      </c>
      <c r="C1695" s="3" t="str">
        <f>"TFC000001111"</f>
        <v>TFC000001111</v>
      </c>
      <c r="D1695" s="3" t="str">
        <f>"F800-20-1242-(AR 2.9)"</f>
        <v>F800-20-1242-(AR 2.9)</v>
      </c>
      <c r="E1695" s="3" t="str">
        <f>"Little witch's big night"</f>
        <v>Little witch's big night</v>
      </c>
      <c r="F1695" s="3" t="str">
        <f>"by Deborah Hautzig ; illustrated by Marc Tolon Brown"</f>
        <v>by Deborah Hautzig ; illustrated by Marc Tolon Brown</v>
      </c>
      <c r="G1695" s="3" t="str">
        <f>"Random House"</f>
        <v>Random House</v>
      </c>
      <c r="H1695" s="2" t="str">
        <f>"1984"</f>
        <v>1984</v>
      </c>
      <c r="I1695" s="3" t="str">
        <f>""</f>
        <v/>
      </c>
    </row>
    <row r="1696" spans="1:9" x14ac:dyDescent="0.3">
      <c r="A1696" s="2">
        <v>1695</v>
      </c>
      <c r="B1696" s="4" t="s">
        <v>30</v>
      </c>
      <c r="C1696" s="3" t="str">
        <f>"TFC000001112"</f>
        <v>TFC000001112</v>
      </c>
      <c r="D1696" s="3" t="str">
        <f>"F800-20-1243-(AR 2.9)"</f>
        <v>F800-20-1243-(AR 2.9)</v>
      </c>
      <c r="E1696" s="3" t="str">
        <f>"(The)first thanksgiving"</f>
        <v>(The)first thanksgiving</v>
      </c>
      <c r="F1696" s="3" t="str">
        <f>"by Linda Hayward ; illustrated by James Watling"</f>
        <v>by Linda Hayward ; illustrated by James Watling</v>
      </c>
      <c r="G1696" s="3" t="str">
        <f>"Random House"</f>
        <v>Random House</v>
      </c>
      <c r="H1696" s="2" t="str">
        <f>"1990"</f>
        <v>1990</v>
      </c>
      <c r="I1696" s="3" t="str">
        <f>""</f>
        <v/>
      </c>
    </row>
    <row r="1697" spans="1:9" x14ac:dyDescent="0.3">
      <c r="A1697" s="2">
        <v>1696</v>
      </c>
      <c r="B1697" s="4" t="s">
        <v>30</v>
      </c>
      <c r="C1697" s="3" t="str">
        <f>"TFC000001116"</f>
        <v>TFC000001116</v>
      </c>
      <c r="D1697" s="3" t="str">
        <f>"F800-20-1247-(AR 2.9)"</f>
        <v>F800-20-1247-(AR 2.9)</v>
      </c>
      <c r="E1697" s="3" t="str">
        <f>"Like Jake and me"</f>
        <v>Like Jake and me</v>
      </c>
      <c r="F1697" s="3" t="str">
        <f>"by Mavis Jukes ; pictures by Lloyd Bloom"</f>
        <v>by Mavis Jukes ; pictures by Lloyd Bloom</v>
      </c>
      <c r="G1697" s="3" t="str">
        <f>"Yearling"</f>
        <v>Yearling</v>
      </c>
      <c r="H1697" s="2" t="str">
        <f>"2005"</f>
        <v>2005</v>
      </c>
      <c r="I1697" s="3" t="str">
        <f>""</f>
        <v/>
      </c>
    </row>
    <row r="1698" spans="1:9" x14ac:dyDescent="0.3">
      <c r="A1698" s="2">
        <v>1697</v>
      </c>
      <c r="B1698" s="4" t="s">
        <v>30</v>
      </c>
      <c r="C1698" s="3" t="str">
        <f>"TFC000001117"</f>
        <v>TFC000001117</v>
      </c>
      <c r="D1698" s="3" t="str">
        <f>"F800-20-1248-(AR 2.9)"</f>
        <v>F800-20-1248-(AR 2.9)</v>
      </c>
      <c r="E1698" s="3" t="str">
        <f>"(The)schoolyard mystery"</f>
        <v>(The)schoolyard mystery</v>
      </c>
      <c r="F1698" s="3" t="str">
        <f>"by Elizabeth Levy ; illustrated by Denise Brunkus"</f>
        <v>by Elizabeth Levy ; illustrated by Denise Brunkus</v>
      </c>
      <c r="G1698" s="3" t="str">
        <f>"Scholastic"</f>
        <v>Scholastic</v>
      </c>
      <c r="H1698" s="2" t="str">
        <f>"2008"</f>
        <v>2008</v>
      </c>
      <c r="I1698" s="3" t="str">
        <f>""</f>
        <v/>
      </c>
    </row>
    <row r="1699" spans="1:9" x14ac:dyDescent="0.3">
      <c r="A1699" s="2">
        <v>1698</v>
      </c>
      <c r="B1699" s="4" t="s">
        <v>30</v>
      </c>
      <c r="C1699" s="3" t="str">
        <f>"TFC000001118"</f>
        <v>TFC000001118</v>
      </c>
      <c r="D1699" s="3" t="str">
        <f>"F800-20-1249-(AR 2.9)"</f>
        <v>F800-20-1249-(AR 2.9)</v>
      </c>
      <c r="E1699" s="3" t="str">
        <f>"Hill of fire"</f>
        <v>Hill of fire</v>
      </c>
      <c r="F1699" s="3" t="str">
        <f>"by Thomas P. Lewis ; pictures by Joan Sandin"</f>
        <v>by Thomas P. Lewis ; pictures by Joan Sandin</v>
      </c>
      <c r="G1699" s="3" t="str">
        <f>"HarperCollins Publishers"</f>
        <v>HarperCollins Publishers</v>
      </c>
      <c r="H1699" s="2" t="str">
        <f>"1971"</f>
        <v>1971</v>
      </c>
      <c r="I1699" s="3" t="str">
        <f>""</f>
        <v/>
      </c>
    </row>
    <row r="1700" spans="1:9" x14ac:dyDescent="0.3">
      <c r="A1700" s="2">
        <v>1699</v>
      </c>
      <c r="B1700" s="4" t="s">
        <v>30</v>
      </c>
      <c r="C1700" s="3" t="str">
        <f>"TFC000001119"</f>
        <v>TFC000001119</v>
      </c>
      <c r="D1700" s="3" t="str">
        <f>"F800-20-1250-(AR 2.9)"</f>
        <v>F800-20-1250-(AR 2.9)</v>
      </c>
      <c r="E1700" s="3" t="str">
        <f>"Nicolas, where have you been?"</f>
        <v>Nicolas, where have you been?</v>
      </c>
      <c r="F1700" s="3" t="str">
        <f>"by Leo Lionni"</f>
        <v>by Leo Lionni</v>
      </c>
      <c r="G1700" s="3" t="str">
        <f>"Dragonfly Books"</f>
        <v>Dragonfly Books</v>
      </c>
      <c r="H1700" s="2" t="str">
        <f>"1987"</f>
        <v>1987</v>
      </c>
      <c r="I1700" s="3" t="str">
        <f>""</f>
        <v/>
      </c>
    </row>
    <row r="1701" spans="1:9" x14ac:dyDescent="0.3">
      <c r="A1701" s="2">
        <v>1700</v>
      </c>
      <c r="B1701" s="4" t="s">
        <v>30</v>
      </c>
      <c r="C1701" s="3" t="str">
        <f>"TFC000001121"</f>
        <v>TFC000001121</v>
      </c>
      <c r="D1701" s="3" t="str">
        <f>"F800-20-1252-(AR 2.9)"</f>
        <v>F800-20-1252-(AR 2.9)</v>
      </c>
      <c r="E1701" s="3" t="str">
        <f>"Frog and Toad are friends"</f>
        <v>Frog and Toad are friends</v>
      </c>
      <c r="F1701" s="3" t="str">
        <f>"by Arnold Lobel"</f>
        <v>by Arnold Lobel</v>
      </c>
      <c r="G1701" s="3" t="str">
        <f>"HarperCollins Publishers"</f>
        <v>HarperCollins Publishers</v>
      </c>
      <c r="H1701" s="2" t="str">
        <f>"1970"</f>
        <v>1970</v>
      </c>
      <c r="I1701" s="3" t="str">
        <f>""</f>
        <v/>
      </c>
    </row>
    <row r="1702" spans="1:9" x14ac:dyDescent="0.3">
      <c r="A1702" s="2">
        <v>1701</v>
      </c>
      <c r="B1702" s="4" t="s">
        <v>30</v>
      </c>
      <c r="C1702" s="3" t="str">
        <f>"TFC000001122"</f>
        <v>TFC000001122</v>
      </c>
      <c r="D1702" s="3" t="str">
        <f>"F800-20-1253-(AR 2.9)"</f>
        <v>F800-20-1253-(AR 2.9)</v>
      </c>
      <c r="E1702" s="3" t="str">
        <f>"Grasshopper on the road"</f>
        <v>Grasshopper on the road</v>
      </c>
      <c r="F1702" s="3" t="str">
        <f>"by Arnold Lobel"</f>
        <v>by Arnold Lobel</v>
      </c>
      <c r="G1702" s="3" t="str">
        <f>"HHarperCollins Publishers"</f>
        <v>HHarperCollins Publishers</v>
      </c>
      <c r="H1702" s="2" t="str">
        <f>"1978"</f>
        <v>1978</v>
      </c>
      <c r="I1702" s="3" t="str">
        <f>""</f>
        <v/>
      </c>
    </row>
    <row r="1703" spans="1:9" x14ac:dyDescent="0.3">
      <c r="A1703" s="2">
        <v>1702</v>
      </c>
      <c r="B1703" s="4" t="s">
        <v>30</v>
      </c>
      <c r="C1703" s="3" t="str">
        <f>"TFC000001124"</f>
        <v>TFC000001124</v>
      </c>
      <c r="D1703" s="3" t="str">
        <f>"F800-20-1255-(AR 2.9)"</f>
        <v>F800-20-1255-(AR 2.9)</v>
      </c>
      <c r="E1703" s="3" t="str">
        <f>"(The)little red hen"</f>
        <v>(The)little red hen</v>
      </c>
      <c r="F1703" s="3" t="str">
        <f>"pictures by Lucinda McQueen"</f>
        <v>pictures by Lucinda McQueen</v>
      </c>
      <c r="G1703" s="3" t="str">
        <f>"Scholastic"</f>
        <v>Scholastic</v>
      </c>
      <c r="H1703" s="2" t="str">
        <f>"1985"</f>
        <v>1985</v>
      </c>
      <c r="I1703" s="3" t="str">
        <f>""</f>
        <v/>
      </c>
    </row>
    <row r="1704" spans="1:9" x14ac:dyDescent="0.3">
      <c r="A1704" s="2">
        <v>1703</v>
      </c>
      <c r="B1704" s="4" t="s">
        <v>30</v>
      </c>
      <c r="C1704" s="3" t="str">
        <f>"TFC000001125"</f>
        <v>TFC000001125</v>
      </c>
      <c r="D1704" s="3" t="str">
        <f>"F800-20-1256-(AR 2.9)"</f>
        <v>F800-20-1256-(AR 2.9)</v>
      </c>
      <c r="E1704" s="3" t="str">
        <f>"If the dinosaurs came back"</f>
        <v>If the dinosaurs came back</v>
      </c>
      <c r="F1704" s="3" t="str">
        <f>"written and illustrated by Bernard Most"</f>
        <v>written and illustrated by Bernard Most</v>
      </c>
      <c r="G1704" s="3" t="str">
        <f>"Sandpiper"</f>
        <v>Sandpiper</v>
      </c>
      <c r="H1704" s="2" t="str">
        <f>"2006"</f>
        <v>2006</v>
      </c>
      <c r="I1704" s="3" t="str">
        <f>""</f>
        <v/>
      </c>
    </row>
    <row r="1705" spans="1:9" x14ac:dyDescent="0.3">
      <c r="A1705" s="2">
        <v>1704</v>
      </c>
      <c r="B1705" s="4" t="s">
        <v>30</v>
      </c>
      <c r="C1705" s="3" t="str">
        <f>"TFC000001126"</f>
        <v>TFC000001126</v>
      </c>
      <c r="D1705" s="3" t="str">
        <f>"F800-20-1257-(AR 2.9)"</f>
        <v>F800-20-1257-(AR 2.9)</v>
      </c>
      <c r="E1705" s="3" t="str">
        <f>"(The)long way westward"</f>
        <v>(The)long way westward</v>
      </c>
      <c r="F1705" s="3" t="str">
        <f>"by Joan Sandin"</f>
        <v>by Joan Sandin</v>
      </c>
      <c r="G1705" s="3" t="str">
        <f>"Harper"</f>
        <v>Harper</v>
      </c>
      <c r="H1705" s="2" t="str">
        <f>"1992"</f>
        <v>1992</v>
      </c>
      <c r="I1705" s="3" t="str">
        <f>""</f>
        <v/>
      </c>
    </row>
    <row r="1706" spans="1:9" x14ac:dyDescent="0.3">
      <c r="A1706" s="2">
        <v>1705</v>
      </c>
      <c r="B1706" s="4" t="s">
        <v>30</v>
      </c>
      <c r="C1706" s="3" t="str">
        <f>"TFC000001134"</f>
        <v>TFC000001134</v>
      </c>
      <c r="D1706" s="3" t="str">
        <f>"F800-20-1265-(AR 2.9)"</f>
        <v>F800-20-1265-(AR 2.9)</v>
      </c>
      <c r="E1706" s="3" t="str">
        <f>"First flight : the story of Tom Tate and the wright brothers"</f>
        <v>First flight : the story of Tom Tate and the wright brothers</v>
      </c>
      <c r="F1706" s="3" t="str">
        <f>"story by George Shea ; pictures by Don Bolognese"</f>
        <v>story by George Shea ; pictures by Don Bolognese</v>
      </c>
      <c r="G1706" s="3" t="str">
        <f>"Harper"</f>
        <v>Harper</v>
      </c>
      <c r="H1706" s="2" t="str">
        <f>"1997"</f>
        <v>1997</v>
      </c>
      <c r="I1706" s="3" t="str">
        <f>""</f>
        <v/>
      </c>
    </row>
    <row r="1707" spans="1:9" x14ac:dyDescent="0.3">
      <c r="A1707" s="2">
        <v>1706</v>
      </c>
      <c r="B1707" s="4" t="s">
        <v>30</v>
      </c>
      <c r="C1707" s="3" t="str">
        <f>"TFC000001135"</f>
        <v>TFC000001135</v>
      </c>
      <c r="D1707" s="3" t="str">
        <f>"F800-20-1266-(AR 2.9)"</f>
        <v>F800-20-1266-(AR 2.9)</v>
      </c>
      <c r="E1707" s="3" t="str">
        <f>"Max and Ruby's bedtime book"</f>
        <v>Max and Ruby's bedtime book</v>
      </c>
      <c r="F1707" s="3" t="str">
        <f>"Rosemary Wells"</f>
        <v>Rosemary Wells</v>
      </c>
      <c r="G1707" s="3" t="str">
        <f>"Viking"</f>
        <v>Viking</v>
      </c>
      <c r="H1707" s="2" t="str">
        <f>"2010"</f>
        <v>2010</v>
      </c>
      <c r="I1707" s="3" t="str">
        <f>""</f>
        <v/>
      </c>
    </row>
    <row r="1708" spans="1:9" x14ac:dyDescent="0.3">
      <c r="A1708" s="2">
        <v>1707</v>
      </c>
      <c r="B1708" s="4" t="s">
        <v>30</v>
      </c>
      <c r="C1708" s="3" t="str">
        <f>"TFC000001136"</f>
        <v>TFC000001136</v>
      </c>
      <c r="D1708" s="3" t="str">
        <f>"F800-20-1267-(AR 2.9)"</f>
        <v>F800-20-1267-(AR 2.9)</v>
      </c>
      <c r="E1708" s="3" t="str">
        <f>"Yoko"</f>
        <v>Yoko</v>
      </c>
      <c r="F1708" s="3" t="str">
        <f>"by Rosemary Wells"</f>
        <v>by Rosemary Wells</v>
      </c>
      <c r="G1708" s="3" t="str">
        <f>"Disney·Hyperion"</f>
        <v>Disney·Hyperion</v>
      </c>
      <c r="H1708" s="2" t="str">
        <f>"1998"</f>
        <v>1998</v>
      </c>
      <c r="I1708" s="3" t="str">
        <f>""</f>
        <v/>
      </c>
    </row>
    <row r="1709" spans="1:9" x14ac:dyDescent="0.3">
      <c r="A1709" s="2">
        <v>1708</v>
      </c>
      <c r="B1709" s="4" t="s">
        <v>30</v>
      </c>
      <c r="C1709" s="3" t="str">
        <f>"TFC000001138"</f>
        <v>TFC000001138</v>
      </c>
      <c r="D1709" s="3" t="str">
        <f>"F800-20-1269-(AR 2.9)"</f>
        <v>F800-20-1269-(AR 2.9)</v>
      </c>
      <c r="E1709" s="3" t="str">
        <f>"Harry by the sea"</f>
        <v>Harry by the sea</v>
      </c>
      <c r="F1709" s="3" t="str">
        <f>"by Gene Zion ; pictures by Margaret Bloy Graham"</f>
        <v>by Gene Zion ; pictures by Margaret Bloy Graham</v>
      </c>
      <c r="G1709" s="3" t="str">
        <f>"HarperCollins Publishers"</f>
        <v>HarperCollins Publishers</v>
      </c>
      <c r="H1709" s="2" t="str">
        <f>"1965"</f>
        <v>1965</v>
      </c>
      <c r="I1709" s="3" t="str">
        <f>""</f>
        <v/>
      </c>
    </row>
    <row r="1710" spans="1:9" x14ac:dyDescent="0.3">
      <c r="A1710" s="2">
        <v>1709</v>
      </c>
      <c r="B1710" s="4" t="s">
        <v>30</v>
      </c>
      <c r="C1710" s="3" t="str">
        <f>"TFC000001139"</f>
        <v>TFC000001139</v>
      </c>
      <c r="D1710" s="3" t="str">
        <f>"F800-20-1270-(AR 2.9)"</f>
        <v>F800-20-1270-(AR 2.9)</v>
      </c>
      <c r="E1710" s="3" t="str">
        <f>"Big sister and little sister"</f>
        <v>Big sister and little sister</v>
      </c>
      <c r="F1710" s="3" t="str">
        <f>"by Charlotte Zolotow ; pictures by Martha Alexander"</f>
        <v>by Charlotte Zolotow ; pictures by Martha Alexander</v>
      </c>
      <c r="G1710" s="3" t="str">
        <f>"HarperTrophy"</f>
        <v>HarperTrophy</v>
      </c>
      <c r="H1710" s="2" t="str">
        <f>"1996"</f>
        <v>1996</v>
      </c>
      <c r="I1710" s="3" t="str">
        <f>""</f>
        <v/>
      </c>
    </row>
    <row r="1711" spans="1:9" x14ac:dyDescent="0.3">
      <c r="A1711" s="2">
        <v>1710</v>
      </c>
      <c r="B1711" s="4" t="s">
        <v>30</v>
      </c>
      <c r="C1711" s="3" t="str">
        <f>"TFC000001140"</f>
        <v>TFC000001140</v>
      </c>
      <c r="D1711" s="3" t="str">
        <f>"F800-20-1271-(AR 2.9)"</f>
        <v>F800-20-1271-(AR 2.9)</v>
      </c>
      <c r="E1711" s="3" t="str">
        <f>"Is it Passover yet?"</f>
        <v>Is it Passover yet?</v>
      </c>
      <c r="F1711" s="3" t="str">
        <f>"Chris Barash ; pictures by Alessandra Psacharopulo"</f>
        <v>Chris Barash ; pictures by Alessandra Psacharopulo</v>
      </c>
      <c r="G1711" s="3" t="str">
        <f>"Albert Whitman &amp; Company"</f>
        <v>Albert Whitman &amp; Company</v>
      </c>
      <c r="H1711" s="2" t="str">
        <f>"2015"</f>
        <v>2015</v>
      </c>
      <c r="I1711" s="3" t="str">
        <f>""</f>
        <v/>
      </c>
    </row>
    <row r="1712" spans="1:9" x14ac:dyDescent="0.3">
      <c r="A1712" s="2">
        <v>1711</v>
      </c>
      <c r="B1712" s="4" t="s">
        <v>30</v>
      </c>
      <c r="C1712" s="3" t="str">
        <f>"TFC000001141"</f>
        <v>TFC000001141</v>
      </c>
      <c r="D1712" s="3" t="str">
        <f>"F800-20-1272-(AR 2.9)"</f>
        <v>F800-20-1272-(AR 2.9)</v>
      </c>
      <c r="E1712" s="3" t="str">
        <f>"Snack attack!"</f>
        <v>Snack attack!</v>
      </c>
      <c r="F1712" s="3" t="str">
        <f>"Terry Border"</f>
        <v>Terry Border</v>
      </c>
      <c r="G1712" s="3" t="str">
        <f>"Philomel Books"</f>
        <v>Philomel Books</v>
      </c>
      <c r="H1712" s="2" t="str">
        <f>"2019"</f>
        <v>2019</v>
      </c>
      <c r="I1712" s="3" t="str">
        <f>""</f>
        <v/>
      </c>
    </row>
    <row r="1713" spans="1:9" x14ac:dyDescent="0.3">
      <c r="A1713" s="2">
        <v>1712</v>
      </c>
      <c r="B1713" s="4" t="s">
        <v>30</v>
      </c>
      <c r="C1713" s="3" t="str">
        <f>"TFC000001142"</f>
        <v>TFC000001142</v>
      </c>
      <c r="D1713" s="3" t="str">
        <f>"F800-20-1273-(AR 2.9)"</f>
        <v>F800-20-1273-(AR 2.9)</v>
      </c>
      <c r="E1713" s="3" t="str">
        <f>"Chip and Curly : the great potato race"</f>
        <v>Chip and Curly : the great potato race</v>
      </c>
      <c r="F1713" s="3" t="str">
        <f>"by Cathy Breisacher ; illustrated by Joshua Heinsz"</f>
        <v>by Cathy Breisacher ; illustrated by Joshua Heinsz</v>
      </c>
      <c r="G1713" s="3" t="str">
        <f>"Sleeping Bear Press"</f>
        <v>Sleeping Bear Press</v>
      </c>
      <c r="H1713" s="2" t="str">
        <f>"2019"</f>
        <v>2019</v>
      </c>
      <c r="I1713" s="3" t="str">
        <f>""</f>
        <v/>
      </c>
    </row>
    <row r="1714" spans="1:9" x14ac:dyDescent="0.3">
      <c r="A1714" s="2">
        <v>1713</v>
      </c>
      <c r="B1714" s="4" t="s">
        <v>30</v>
      </c>
      <c r="C1714" s="3" t="str">
        <f>"TFC000001143"</f>
        <v>TFC000001143</v>
      </c>
      <c r="D1714" s="3" t="str">
        <f>"F800-20-1274-(AR 2.9)"</f>
        <v>F800-20-1274-(AR 2.9)</v>
      </c>
      <c r="E1714" s="3" t="str">
        <f>"Leave me alone!"</f>
        <v>Leave me alone!</v>
      </c>
      <c r="F1714" s="3" t="str">
        <f>"Vera Brosgol"</f>
        <v>Vera Brosgol</v>
      </c>
      <c r="G1714" s="3" t="str">
        <f>"Roaring Brook Press"</f>
        <v>Roaring Brook Press</v>
      </c>
      <c r="H1714" s="2" t="str">
        <f>"2016"</f>
        <v>2016</v>
      </c>
      <c r="I1714" s="3" t="str">
        <f>""</f>
        <v/>
      </c>
    </row>
    <row r="1715" spans="1:9" x14ac:dyDescent="0.3">
      <c r="A1715" s="2">
        <v>1714</v>
      </c>
      <c r="B1715" s="4" t="s">
        <v>30</v>
      </c>
      <c r="C1715" s="3" t="str">
        <f>"TFC000001144"</f>
        <v>TFC000001144</v>
      </c>
      <c r="D1715" s="3" t="str">
        <f>"F800-20-1275-(AR 2.9)"</f>
        <v>F800-20-1275-(AR 2.9)</v>
      </c>
      <c r="E1715" s="3" t="str">
        <f>"Bad Kitty vs. Uncle Murray : the uproar at the front door"</f>
        <v>Bad Kitty vs. Uncle Murray : the uproar at the front door</v>
      </c>
      <c r="F1715" s="3" t="str">
        <f>"Nick Bruel"</f>
        <v>Nick Bruel</v>
      </c>
      <c r="G1715" s="3" t="str">
        <f>"Roaring Brook Press"</f>
        <v>Roaring Brook Press</v>
      </c>
      <c r="H1715" s="2" t="str">
        <f>"2010"</f>
        <v>2010</v>
      </c>
      <c r="I1715" s="3" t="str">
        <f>""</f>
        <v/>
      </c>
    </row>
    <row r="1716" spans="1:9" x14ac:dyDescent="0.3">
      <c r="A1716" s="2">
        <v>1715</v>
      </c>
      <c r="B1716" s="4" t="s">
        <v>30</v>
      </c>
      <c r="C1716" s="3" t="str">
        <f>"TFC000001148"</f>
        <v>TFC000001148</v>
      </c>
      <c r="D1716" s="3" t="str">
        <f>"F800-20-1279-(AR 2.9)"</f>
        <v>F800-20-1279-(AR 2.9)</v>
      </c>
      <c r="E1716" s="3" t="str">
        <f>"New Kid"</f>
        <v>New Kid</v>
      </c>
      <c r="F1716" s="3" t="str">
        <f>"Jerry Craft ; with color by Jim Callahan"</f>
        <v>Jerry Craft ; with color by Jim Callahan</v>
      </c>
      <c r="G1716" s="3" t="str">
        <f>"Harper"</f>
        <v>Harper</v>
      </c>
      <c r="H1716" s="2" t="str">
        <f>"2019"</f>
        <v>2019</v>
      </c>
      <c r="I1716" s="3" t="str">
        <f>""</f>
        <v/>
      </c>
    </row>
    <row r="1717" spans="1:9" x14ac:dyDescent="0.3">
      <c r="A1717" s="2">
        <v>1716</v>
      </c>
      <c r="B1717" s="4" t="s">
        <v>30</v>
      </c>
      <c r="C1717" s="3" t="str">
        <f>"TFC000001149"</f>
        <v>TFC000001149</v>
      </c>
      <c r="D1717" s="3" t="str">
        <f>"F800-20-1280-(AR 2.9)"</f>
        <v>F800-20-1280-(AR 2.9)</v>
      </c>
      <c r="E1717" s="3" t="str">
        <f>"Now one foot, now the other"</f>
        <v>Now one foot, now the other</v>
      </c>
      <c r="F1717" s="3" t="str">
        <f>"by Tomie dePaola"</f>
        <v>by Tomie dePaola</v>
      </c>
      <c r="G1717" s="3" t="str">
        <f>"Puffin Books"</f>
        <v>Puffin Books</v>
      </c>
      <c r="H1717" s="2" t="str">
        <f>"2006"</f>
        <v>2006</v>
      </c>
      <c r="I1717" s="3" t="str">
        <f>""</f>
        <v/>
      </c>
    </row>
    <row r="1718" spans="1:9" x14ac:dyDescent="0.3">
      <c r="A1718" s="2">
        <v>1717</v>
      </c>
      <c r="B1718" s="4" t="s">
        <v>30</v>
      </c>
      <c r="C1718" s="3" t="str">
        <f>"TFC000001150"</f>
        <v>TFC000001150</v>
      </c>
      <c r="D1718" s="3" t="str">
        <f>"F800-20-1281-(AR 2.9)"</f>
        <v>F800-20-1281-(AR 2.9)</v>
      </c>
      <c r="E1718" s="3" t="str">
        <f>"Baabwaa &amp; Wooliam"</f>
        <v>Baabwaa &amp; Wooliam</v>
      </c>
      <c r="F1718" s="3" t="str">
        <f>"David Elliott ; illustrated by Melissa Sweet"</f>
        <v>David Elliott ; illustrated by Melissa Sweet</v>
      </c>
      <c r="G1718" s="3" t="str">
        <f>"Candlewick Press"</f>
        <v>Candlewick Press</v>
      </c>
      <c r="H1718" s="2" t="str">
        <f>"2017"</f>
        <v>2017</v>
      </c>
      <c r="I1718" s="3" t="str">
        <f>""</f>
        <v/>
      </c>
    </row>
    <row r="1719" spans="1:9" x14ac:dyDescent="0.3">
      <c r="A1719" s="2">
        <v>1718</v>
      </c>
      <c r="B1719" s="4" t="s">
        <v>30</v>
      </c>
      <c r="C1719" s="3" t="str">
        <f>"TFC000001151"</f>
        <v>TFC000001151</v>
      </c>
      <c r="D1719" s="3" t="str">
        <f>"F800-20-1282-(AR 2.9)"</f>
        <v>F800-20-1282-(AR 2.9)</v>
      </c>
      <c r="E1719" s="3" t="str">
        <f>"Foreman Farley has a backhoe"</f>
        <v>Foreman Farley has a backhoe</v>
      </c>
      <c r="F1719" s="3" t="str">
        <f>"by Jenny Goebel ; illustrated by Sebastiaan Van Doninck"</f>
        <v>by Jenny Goebel ; illustrated by Sebastiaan Van Doninck</v>
      </c>
      <c r="G1719" s="3" t="str">
        <f>"Grosset &amp; Dunlap"</f>
        <v>Grosset &amp; Dunlap</v>
      </c>
      <c r="H1719" s="2" t="str">
        <f>"2014"</f>
        <v>2014</v>
      </c>
      <c r="I1719" s="3" t="str">
        <f>""</f>
        <v/>
      </c>
    </row>
    <row r="1720" spans="1:9" x14ac:dyDescent="0.3">
      <c r="A1720" s="2">
        <v>1719</v>
      </c>
      <c r="B1720" s="4" t="s">
        <v>30</v>
      </c>
      <c r="C1720" s="3" t="str">
        <f>"TFC000001152"</f>
        <v>TFC000001152</v>
      </c>
      <c r="D1720" s="3" t="str">
        <f>"F800-20-1283-(AR 2.9)"</f>
        <v>F800-20-1283-(AR 2.9)</v>
      </c>
      <c r="E1720" s="3" t="str">
        <f>"How not to start third grade"</f>
        <v>How not to start third grade</v>
      </c>
      <c r="F1720" s="3" t="str">
        <f>"by Cathy Hapka, Ellen Titlebaum ; illustrated by Debbie Palen"</f>
        <v>by Cathy Hapka, Ellen Titlebaum ; illustrated by Debbie Palen</v>
      </c>
      <c r="G1720" s="3" t="str">
        <f>"Random House"</f>
        <v>Random House</v>
      </c>
      <c r="H1720" s="2" t="str">
        <f>"2007"</f>
        <v>2007</v>
      </c>
      <c r="I1720" s="3" t="str">
        <f>""</f>
        <v/>
      </c>
    </row>
    <row r="1721" spans="1:9" x14ac:dyDescent="0.3">
      <c r="A1721" s="2">
        <v>1720</v>
      </c>
      <c r="B1721" s="4" t="s">
        <v>30</v>
      </c>
      <c r="C1721" s="3" t="str">
        <f>"TFC000001153"</f>
        <v>TFC000001153</v>
      </c>
      <c r="D1721" s="3" t="str">
        <f>"F800-20-1284-(AR 2.9)"</f>
        <v>F800-20-1284-(AR 2.9)</v>
      </c>
      <c r="E1721" s="3" t="str">
        <f>"Extraordinary ordinary Ella"</f>
        <v>Extraordinary ordinary Ella</v>
      </c>
      <c r="F1721" s="3" t="str">
        <f>"written by Amber Hendricks ; illustrated by Luciana Navarro Powell"</f>
        <v>written by Amber Hendricks ; illustrated by Luciana Navarro Powell</v>
      </c>
      <c r="G1721" s="3" t="str">
        <f>"Amicus Ink"</f>
        <v>Amicus Ink</v>
      </c>
      <c r="H1721" s="2" t="str">
        <f>"2020"</f>
        <v>2020</v>
      </c>
      <c r="I1721" s="3" t="str">
        <f>""</f>
        <v/>
      </c>
    </row>
    <row r="1722" spans="1:9" x14ac:dyDescent="0.3">
      <c r="A1722" s="2">
        <v>1721</v>
      </c>
      <c r="B1722" s="4" t="s">
        <v>30</v>
      </c>
      <c r="C1722" s="3" t="str">
        <f>"TFC000001154"</f>
        <v>TFC000001154</v>
      </c>
      <c r="D1722" s="3" t="str">
        <f>"F800-20-1285-(AR 2.9)"</f>
        <v>F800-20-1285-(AR 2.9)</v>
      </c>
      <c r="E1722" s="3" t="str">
        <f>"This is my room! (no tigers allowed)"</f>
        <v>This is my room! (no tigers allowed)</v>
      </c>
      <c r="F1722" s="3" t="str">
        <f>"Jennifer Richard Jacobson ; illustrated by Alexandria Neonakis"</f>
        <v>Jennifer Richard Jacobson ; illustrated by Alexandria Neonakis</v>
      </c>
      <c r="G1722" s="3" t="str">
        <f>"Simon &amp; Schuster Books for Young Readers"</f>
        <v>Simon &amp; Schuster Books for Young Readers</v>
      </c>
      <c r="H1722" s="2" t="str">
        <f>"2019"</f>
        <v>2019</v>
      </c>
      <c r="I1722" s="3" t="str">
        <f>""</f>
        <v/>
      </c>
    </row>
    <row r="1723" spans="1:9" x14ac:dyDescent="0.3">
      <c r="A1723" s="2">
        <v>1722</v>
      </c>
      <c r="B1723" s="4" t="s">
        <v>30</v>
      </c>
      <c r="C1723" s="3" t="str">
        <f>"TFC000001155"</f>
        <v>TFC000001155</v>
      </c>
      <c r="D1723" s="3" t="str">
        <f>"F800-20-1286-(AR 2.9)"</f>
        <v>F800-20-1286-(AR 2.9)</v>
      </c>
      <c r="E1723" s="3" t="str">
        <f>"Big bad wolves at school"</f>
        <v>Big bad wolves at school</v>
      </c>
      <c r="F1723" s="3" t="str">
        <f>"by Stephen Krensky ; illustrated by Brad Sneed"</f>
        <v>by Stephen Krensky ; illustrated by Brad Sneed</v>
      </c>
      <c r="G1723" s="3" t="str">
        <f>"Simon &amp; Schuster Books for Young Readers"</f>
        <v>Simon &amp; Schuster Books for Young Readers</v>
      </c>
      <c r="H1723" s="2" t="str">
        <f>"2007"</f>
        <v>2007</v>
      </c>
      <c r="I1723" s="3" t="str">
        <f>""</f>
        <v/>
      </c>
    </row>
    <row r="1724" spans="1:9" x14ac:dyDescent="0.3">
      <c r="A1724" s="2">
        <v>1723</v>
      </c>
      <c r="B1724" s="4" t="s">
        <v>30</v>
      </c>
      <c r="C1724" s="3" t="str">
        <f>"TFC000001156"</f>
        <v>TFC000001156</v>
      </c>
      <c r="D1724" s="3" t="str">
        <f>"F800-20-1287-(AR 2.9)"</f>
        <v>F800-20-1287-(AR 2.9)</v>
      </c>
      <c r="E1724" s="3" t="str">
        <f>"Sleep like a tiger"</f>
        <v>Sleep like a tiger</v>
      </c>
      <c r="F1724" s="3" t="str">
        <f>"written by Mary Logue ; illustrated by Pamela Zagarenski"</f>
        <v>written by Mary Logue ; illustrated by Pamela Zagarenski</v>
      </c>
      <c r="G1724" s="3" t="str">
        <f>"Houghton Mifflin Books for Children"</f>
        <v>Houghton Mifflin Books for Children</v>
      </c>
      <c r="H1724" s="2" t="str">
        <f>"2012"</f>
        <v>2012</v>
      </c>
      <c r="I1724" s="3" t="str">
        <f>""</f>
        <v/>
      </c>
    </row>
    <row r="1725" spans="1:9" x14ac:dyDescent="0.3">
      <c r="A1725" s="2">
        <v>1724</v>
      </c>
      <c r="B1725" s="4" t="s">
        <v>30</v>
      </c>
      <c r="C1725" s="3" t="str">
        <f>"TFC000001157"</f>
        <v>TFC000001157</v>
      </c>
      <c r="D1725" s="3" t="str">
        <f>"F800-20-1288-(AR 2.9)"</f>
        <v>F800-20-1288-(AR 2.9)</v>
      </c>
      <c r="E1725" s="3" t="str">
        <f>"Caleb's story"</f>
        <v>Caleb's story</v>
      </c>
      <c r="F1725" s="3" t="str">
        <f>"written by Patricia Maclachlan"</f>
        <v>written by Patricia Maclachlan</v>
      </c>
      <c r="G1725" s="3" t="str">
        <f>"HarperCollins Publishers"</f>
        <v>HarperCollins Publishers</v>
      </c>
      <c r="H1725" s="2" t="str">
        <f>"2013"</f>
        <v>2013</v>
      </c>
      <c r="I1725" s="3" t="str">
        <f>""</f>
        <v/>
      </c>
    </row>
    <row r="1726" spans="1:9" x14ac:dyDescent="0.3">
      <c r="A1726" s="2">
        <v>1725</v>
      </c>
      <c r="B1726" s="4" t="s">
        <v>30</v>
      </c>
      <c r="C1726" s="3" t="str">
        <f>"TFC000001158"</f>
        <v>TFC000001158</v>
      </c>
      <c r="D1726" s="3" t="str">
        <f>"F800-20-1289-(AR 2.9)"</f>
        <v>F800-20-1289-(AR 2.9)</v>
      </c>
      <c r="E1726" s="3" t="str">
        <f>"Just a school project"</f>
        <v>Just a school project</v>
      </c>
      <c r="F1726" s="3" t="str">
        <f>"by Mercer Mayer"</f>
        <v>by Mercer Mayer</v>
      </c>
      <c r="G1726" s="3" t="str">
        <f>"HarperFestival"</f>
        <v>HarperFestival</v>
      </c>
      <c r="H1726" s="2" t="str">
        <f>"2004"</f>
        <v>2004</v>
      </c>
      <c r="I1726" s="3" t="str">
        <f>""</f>
        <v/>
      </c>
    </row>
    <row r="1727" spans="1:9" x14ac:dyDescent="0.3">
      <c r="A1727" s="2">
        <v>1726</v>
      </c>
      <c r="B1727" s="4" t="s">
        <v>30</v>
      </c>
      <c r="C1727" s="3" t="str">
        <f>"TFC000001159"</f>
        <v>TFC000001159</v>
      </c>
      <c r="D1727" s="3" t="str">
        <f>"F800-20-1290-(AR 2.9)"</f>
        <v>F800-20-1290-(AR 2.9)</v>
      </c>
      <c r="E1727" s="3" t="str">
        <f>"Amy Namey in ace reporter"</f>
        <v>Amy Namey in ace reporter</v>
      </c>
      <c r="F1727" s="3" t="str">
        <f>"Megan McDonald ; illustrated by Erwin Madrid ; based on the characters created by Peter H. Reynolds"</f>
        <v>Megan McDonald ; illustrated by Erwin Madrid ; based on the characters created by Peter H. Reynolds</v>
      </c>
      <c r="G1727" s="3" t="str">
        <f>"Candlewick Press"</f>
        <v>Candlewick Press</v>
      </c>
      <c r="H1727" s="2" t="str">
        <f>"2014"</f>
        <v>2014</v>
      </c>
      <c r="I1727" s="3" t="str">
        <f>""</f>
        <v/>
      </c>
    </row>
    <row r="1728" spans="1:9" x14ac:dyDescent="0.3">
      <c r="A1728" s="2">
        <v>1727</v>
      </c>
      <c r="B1728" s="4" t="s">
        <v>30</v>
      </c>
      <c r="C1728" s="3" t="str">
        <f>"TFC000001160"</f>
        <v>TFC000001160</v>
      </c>
      <c r="D1728" s="3" t="str">
        <f>"F800-20-1291-(AR 2.9)"</f>
        <v>F800-20-1291-(AR 2.9)</v>
      </c>
      <c r="E1728" s="3" t="str">
        <f>"Stink Moody in master of disaster"</f>
        <v>Stink Moody in master of disaster</v>
      </c>
      <c r="F1728" s="3" t="str">
        <f>"Megan McDonald ; illustrated by Erwin Madrid ; based on the characters created by Peter H. Reynolds"</f>
        <v>Megan McDonald ; illustrated by Erwin Madrid ; based on the characters created by Peter H. Reynolds</v>
      </c>
      <c r="G1728" s="3" t="str">
        <f>"Candlewick Press"</f>
        <v>Candlewick Press</v>
      </c>
      <c r="H1728" s="2" t="str">
        <f>"2014"</f>
        <v>2014</v>
      </c>
      <c r="I1728" s="3" t="str">
        <f>""</f>
        <v/>
      </c>
    </row>
    <row r="1729" spans="1:9" x14ac:dyDescent="0.3">
      <c r="A1729" s="2">
        <v>1728</v>
      </c>
      <c r="B1729" s="4" t="s">
        <v>30</v>
      </c>
      <c r="C1729" s="3" t="str">
        <f>"TFC000001161"</f>
        <v>TFC000001161</v>
      </c>
      <c r="D1729" s="3" t="str">
        <f>"F800-20-1292-(AR 2.9)"</f>
        <v>F800-20-1292-(AR 2.9)</v>
      </c>
      <c r="E1729" s="3" t="str">
        <f>"How to read a story"</f>
        <v>How to read a story</v>
      </c>
      <c r="F1729" s="3" t="str">
        <f>"by Kate Messner ; illustrated by Mark Siegel"</f>
        <v>by Kate Messner ; illustrated by Mark Siegel</v>
      </c>
      <c r="G1729" s="3" t="str">
        <f>"Chronicle Books"</f>
        <v>Chronicle Books</v>
      </c>
      <c r="H1729" s="2" t="str">
        <f>"2015"</f>
        <v>2015</v>
      </c>
      <c r="I1729" s="3" t="str">
        <f>""</f>
        <v/>
      </c>
    </row>
    <row r="1730" spans="1:9" x14ac:dyDescent="0.3">
      <c r="A1730" s="2">
        <v>1729</v>
      </c>
      <c r="B1730" s="4" t="s">
        <v>30</v>
      </c>
      <c r="C1730" s="3" t="str">
        <f>"TFC000001162"</f>
        <v>TFC000001162</v>
      </c>
      <c r="D1730" s="3" t="str">
        <f>"F800-20-1293-(AR 2.9)"</f>
        <v>F800-20-1293-(AR 2.9)</v>
      </c>
      <c r="E1730" s="3" t="str">
        <f>"Zen shorts"</f>
        <v>Zen shorts</v>
      </c>
      <c r="F1730" s="3" t="str">
        <f>"by Jon J. Muth"</f>
        <v>by Jon J. Muth</v>
      </c>
      <c r="G1730" s="3" t="str">
        <f>"Scholastic Press"</f>
        <v>Scholastic Press</v>
      </c>
      <c r="H1730" s="2" t="str">
        <f>"2005"</f>
        <v>2005</v>
      </c>
      <c r="I1730" s="3" t="str">
        <f>""</f>
        <v/>
      </c>
    </row>
    <row r="1731" spans="1:9" x14ac:dyDescent="0.3">
      <c r="A1731" s="2">
        <v>1730</v>
      </c>
      <c r="B1731" s="4" t="s">
        <v>30</v>
      </c>
      <c r="C1731" s="3" t="str">
        <f>"TFC000001163"</f>
        <v>TFC000001163</v>
      </c>
      <c r="D1731" s="3" t="str">
        <f>"F800-20-1294-(AR 2.9)"</f>
        <v>F800-20-1294-(AR 2.9)</v>
      </c>
      <c r="E1731" s="3" t="str">
        <f>"No more noisy nights"</f>
        <v>No more noisy nights</v>
      </c>
      <c r="F1731" s="3" t="str">
        <f>"written by Holly L. Niner ; illustrated by Guy Wolek"</f>
        <v>written by Holly L. Niner ; illustrated by Guy Wolek</v>
      </c>
      <c r="G1731" s="3" t="str">
        <f>"Flash Light Press"</f>
        <v>Flash Light Press</v>
      </c>
      <c r="H1731" s="2" t="str">
        <f>"2017"</f>
        <v>2017</v>
      </c>
      <c r="I1731" s="3" t="str">
        <f>""</f>
        <v/>
      </c>
    </row>
    <row r="1732" spans="1:9" x14ac:dyDescent="0.3">
      <c r="A1732" s="2">
        <v>1731</v>
      </c>
      <c r="B1732" s="4" t="s">
        <v>30</v>
      </c>
      <c r="C1732" s="3" t="str">
        <f>"TFC000001164"</f>
        <v>TFC000001164</v>
      </c>
      <c r="D1732" s="3" t="str">
        <f>"F800-20-1295-(AR 2.9)"</f>
        <v>F800-20-1295-(AR 2.9)</v>
      </c>
      <c r="E1732" s="3" t="str">
        <f>"Lulu goes to witch school"</f>
        <v>Lulu goes to witch school</v>
      </c>
      <c r="F1732" s="3" t="str">
        <f>"Jane O'Connor ; pictures by Emily Arnold McCully"</f>
        <v>Jane O'Connor ; pictures by Emily Arnold McCully</v>
      </c>
      <c r="G1732" s="3" t="str">
        <f>"HarperCollins Publishers"</f>
        <v>HarperCollins Publishers</v>
      </c>
      <c r="H1732" s="2" t="str">
        <f>"1990"</f>
        <v>1990</v>
      </c>
      <c r="I1732" s="3" t="str">
        <f>""</f>
        <v/>
      </c>
    </row>
    <row r="1733" spans="1:9" x14ac:dyDescent="0.3">
      <c r="A1733" s="2">
        <v>1732</v>
      </c>
      <c r="B1733" s="4" t="s">
        <v>30</v>
      </c>
      <c r="C1733" s="3" t="str">
        <f>"TFC000001165"</f>
        <v>TFC000001165</v>
      </c>
      <c r="D1733" s="3" t="str">
        <f>"F800-20-1296-(AR 2.9)"</f>
        <v>F800-20-1296-(AR 2.9)</v>
      </c>
      <c r="E1733" s="3" t="str">
        <f>"(The)knight at dawn"</f>
        <v>(The)knight at dawn</v>
      </c>
      <c r="F1733" s="3" t="str">
        <f>"by Mary Pope Osborne ; illustrated by Sal Murdocca"</f>
        <v>by Mary Pope Osborne ; illustrated by Sal Murdocca</v>
      </c>
      <c r="G1733" s="3" t="str">
        <f>"Random House"</f>
        <v>Random House</v>
      </c>
      <c r="H1733" s="2" t="str">
        <f>"2013"</f>
        <v>2013</v>
      </c>
      <c r="I1733" s="3" t="str">
        <f>""</f>
        <v/>
      </c>
    </row>
    <row r="1734" spans="1:9" x14ac:dyDescent="0.3">
      <c r="A1734" s="2">
        <v>1733</v>
      </c>
      <c r="B1734" s="4" t="s">
        <v>30</v>
      </c>
      <c r="C1734" s="3" t="str">
        <f>"TFC000001169"</f>
        <v>TFC000001169</v>
      </c>
      <c r="D1734" s="3" t="str">
        <f>"F800-20-1300-(AR 2.9)"</f>
        <v>F800-20-1300-(AR 2.9)</v>
      </c>
      <c r="E1734" s="3" t="str">
        <f>"Nya's long walk : a step at a time"</f>
        <v>Nya's long walk : a step at a time</v>
      </c>
      <c r="F1734" s="3" t="str">
        <f>"by Linda Sue Park ; illustrated by Brian Pinkney"</f>
        <v>by Linda Sue Park ; illustrated by Brian Pinkney</v>
      </c>
      <c r="G1734" s="3" t="str">
        <f>"Clarion Books"</f>
        <v>Clarion Books</v>
      </c>
      <c r="H1734" s="2" t="str">
        <f>"2019"</f>
        <v>2019</v>
      </c>
      <c r="I1734" s="3" t="str">
        <f>""</f>
        <v/>
      </c>
    </row>
    <row r="1735" spans="1:9" x14ac:dyDescent="0.3">
      <c r="A1735" s="2">
        <v>1734</v>
      </c>
      <c r="B1735" s="4" t="s">
        <v>30</v>
      </c>
      <c r="C1735" s="3" t="str">
        <f>"TFC000001170"</f>
        <v>TFC000001170</v>
      </c>
      <c r="D1735" s="3" t="str">
        <f>"F800-20-1301-(AR 2.9)"</f>
        <v>F800-20-1301-(AR 2.9)</v>
      </c>
      <c r="E1735" s="3" t="str">
        <f>"(The)paperboy"</f>
        <v>(The)paperboy</v>
      </c>
      <c r="F1735" s="3" t="str">
        <f>"story and paintings by Dav Pilkey"</f>
        <v>story and paintings by Dav Pilkey</v>
      </c>
      <c r="G1735" s="3" t="str">
        <f>"Orchard Books"</f>
        <v>Orchard Books</v>
      </c>
      <c r="H1735" s="2" t="str">
        <f>"2004"</f>
        <v>2004</v>
      </c>
      <c r="I1735" s="3" t="str">
        <f>""</f>
        <v/>
      </c>
    </row>
    <row r="1736" spans="1:9" x14ac:dyDescent="0.3">
      <c r="A1736" s="2">
        <v>1735</v>
      </c>
      <c r="B1736" s="4" t="s">
        <v>30</v>
      </c>
      <c r="C1736" s="3" t="str">
        <f>"TFC000001172"</f>
        <v>TFC000001172</v>
      </c>
      <c r="D1736" s="3" t="str">
        <f>"F800-20-1303-(AR 2.9)"</f>
        <v>F800-20-1303-(AR 2.9)</v>
      </c>
      <c r="E1736" s="3" t="str">
        <f>"(The)case of the bicycle bandit"</f>
        <v>(The)case of the bicycle bandit</v>
      </c>
      <c r="F1736" s="3" t="str">
        <f>"by James Preller ; illustrated by Jamie Smith"</f>
        <v>by James Preller ; illustrated by Jamie Smith</v>
      </c>
      <c r="G1736" s="3" t="str">
        <f>"Feiwel and Friends"</f>
        <v>Feiwel and Friends</v>
      </c>
      <c r="H1736" s="2" t="str">
        <f>"2017"</f>
        <v>2017</v>
      </c>
      <c r="I1736" s="3" t="str">
        <f>""</f>
        <v/>
      </c>
    </row>
    <row r="1737" spans="1:9" x14ac:dyDescent="0.3">
      <c r="A1737" s="2">
        <v>1736</v>
      </c>
      <c r="B1737" s="4" t="s">
        <v>30</v>
      </c>
      <c r="C1737" s="3" t="str">
        <f>"TFC000001173"</f>
        <v>TFC000001173</v>
      </c>
      <c r="D1737" s="3" t="str">
        <f>"F800-20-1304-(AR 2.9)"</f>
        <v>F800-20-1304-(AR 2.9)</v>
      </c>
      <c r="E1737" s="3" t="str">
        <f>"Hot air : the mostly true story of the first hot-air balloon ride"</f>
        <v>Hot air : the mostly true story of the first hot-air balloon ride</v>
      </c>
      <c r="F1737" s="3" t="str">
        <f>"Marjorie Priceman"</f>
        <v>Marjorie Priceman</v>
      </c>
      <c r="G1737" s="3" t="str">
        <f>"Atheneum"</f>
        <v>Atheneum</v>
      </c>
      <c r="H1737" s="2" t="str">
        <f>"2005"</f>
        <v>2005</v>
      </c>
      <c r="I1737" s="3" t="str">
        <f>""</f>
        <v/>
      </c>
    </row>
    <row r="1738" spans="1:9" x14ac:dyDescent="0.3">
      <c r="A1738" s="2">
        <v>1737</v>
      </c>
      <c r="B1738" s="4" t="s">
        <v>30</v>
      </c>
      <c r="C1738" s="3" t="str">
        <f>"TFC000001176"</f>
        <v>TFC000001176</v>
      </c>
      <c r="D1738" s="3" t="str">
        <f>"F800-20-1307-(AR 2.9)"</f>
        <v>F800-20-1307-(AR 2.9)</v>
      </c>
      <c r="E1738" s="3" t="str">
        <f>"Pirates don't go to kindergarten!"</f>
        <v>Pirates don't go to kindergarten!</v>
      </c>
      <c r="F1738" s="3" t="str">
        <f>"by Lisa Robinson ; illustrated by Eda Kaban"</f>
        <v>by Lisa Robinson ; illustrated by Eda Kaban</v>
      </c>
      <c r="G1738" s="3" t="str">
        <f>"Two Lions"</f>
        <v>Two Lions</v>
      </c>
      <c r="H1738" s="2" t="str">
        <f>"2019"</f>
        <v>2019</v>
      </c>
      <c r="I1738" s="3" t="str">
        <f>""</f>
        <v/>
      </c>
    </row>
    <row r="1739" spans="1:9" x14ac:dyDescent="0.3">
      <c r="A1739" s="2">
        <v>1738</v>
      </c>
      <c r="B1739" s="4" t="s">
        <v>30</v>
      </c>
      <c r="C1739" s="3" t="str">
        <f>"TFC000001177"</f>
        <v>TFC000001177</v>
      </c>
      <c r="D1739" s="3" t="str">
        <f>"F800-20-1308-(AR 2.9)"</f>
        <v>F800-20-1308-(AR 2.9)</v>
      </c>
      <c r="E1739" s="3" t="str">
        <f>"Henry and Mudge and a very merry Christmas : the twenty-fifth book of their adventures"</f>
        <v>Henry and Mudge and a very merry Christmas : the twenty-fifth book of their adventures</v>
      </c>
      <c r="F1739" s="3" t="str">
        <f>"story by Cynthia Rylant ; pictures by Suc?ie Stevenson"</f>
        <v>story by Cynthia Rylant ; pictures by Suc?ie Stevenson</v>
      </c>
      <c r="G1739" s="3" t="str">
        <f>"Aladdin"</f>
        <v>Aladdin</v>
      </c>
      <c r="H1739" s="2" t="str">
        <f>"2005"</f>
        <v>2005</v>
      </c>
      <c r="I1739" s="3" t="str">
        <f>""</f>
        <v/>
      </c>
    </row>
    <row r="1740" spans="1:9" x14ac:dyDescent="0.3">
      <c r="A1740" s="2">
        <v>1739</v>
      </c>
      <c r="B1740" s="4" t="s">
        <v>30</v>
      </c>
      <c r="C1740" s="3" t="str">
        <f>"TFC000001178"</f>
        <v>TFC000001178</v>
      </c>
      <c r="D1740" s="3" t="str">
        <f>"F800-20-1309-(AR 2.9)"</f>
        <v>F800-20-1309-(AR 2.9)</v>
      </c>
      <c r="E1740" s="3" t="str">
        <f>"Alone in his teacher's house"</f>
        <v>Alone in his teacher's house</v>
      </c>
      <c r="F1740" s="3" t="str">
        <f>"by Louis Sachar ; illustrated by Barbara Sullivan"</f>
        <v>by Louis Sachar ; illustrated by Barbara Sullivan</v>
      </c>
      <c r="G1740" s="3" t="str">
        <f>"Random House"</f>
        <v>Random House</v>
      </c>
      <c r="H1740" s="2" t="str">
        <f>"2015"</f>
        <v>2015</v>
      </c>
      <c r="I1740" s="3" t="str">
        <f>""</f>
        <v/>
      </c>
    </row>
    <row r="1741" spans="1:9" x14ac:dyDescent="0.3">
      <c r="A1741" s="2">
        <v>1740</v>
      </c>
      <c r="B1741" s="4" t="s">
        <v>30</v>
      </c>
      <c r="C1741" s="3" t="str">
        <f>"TFC000001179"</f>
        <v>TFC000001179</v>
      </c>
      <c r="D1741" s="3" t="str">
        <f>"F800-20-1310-(AR 2.9)"</f>
        <v>F800-20-1310-(AR 2.9)</v>
      </c>
      <c r="E1741" s="3" t="str">
        <f>"(The)big case"</f>
        <v>(The)big case</v>
      </c>
      <c r="F1741" s="3" t="str">
        <f>"by Bill Scollon ; illustrated by the Disney Storybook Art Team"</f>
        <v>by Bill Scollon ; illustrated by the Disney Storybook Art Team</v>
      </c>
      <c r="G1741" s="3" t="str">
        <f>"Two Ponds"</f>
        <v>Two Ponds</v>
      </c>
      <c r="H1741" s="2" t="str">
        <f>"2016"</f>
        <v>2016</v>
      </c>
      <c r="I1741" s="3" t="str">
        <f>""</f>
        <v/>
      </c>
    </row>
    <row r="1742" spans="1:9" x14ac:dyDescent="0.3">
      <c r="A1742" s="2">
        <v>1741</v>
      </c>
      <c r="B1742" s="4" t="s">
        <v>30</v>
      </c>
      <c r="C1742" s="3" t="str">
        <f>"TFC000001180"</f>
        <v>TFC000001180</v>
      </c>
      <c r="D1742" s="3" t="str">
        <f>"F800-20-1311-(AR 2.9)"</f>
        <v>F800-20-1311-(AR 2.9)</v>
      </c>
      <c r="E1742" s="3" t="str">
        <f>"Ficht to the finish!"</f>
        <v>Ficht to the finish!</v>
      </c>
      <c r="F1742" s="3" t="str">
        <f>"by Bill Scollon ; illustrated by Disney Storybook Art Team"</f>
        <v>by Bill Scollon ; illustrated by Disney Storybook Art Team</v>
      </c>
      <c r="G1742" s="3" t="str">
        <f>"Two Ponds"</f>
        <v>Two Ponds</v>
      </c>
      <c r="H1742" s="2" t="str">
        <f>"2015"</f>
        <v>2015</v>
      </c>
      <c r="I1742" s="3" t="str">
        <f>""</f>
        <v/>
      </c>
    </row>
    <row r="1743" spans="1:9" x14ac:dyDescent="0.3">
      <c r="A1743" s="2">
        <v>1742</v>
      </c>
      <c r="B1743" s="4" t="s">
        <v>30</v>
      </c>
      <c r="C1743" s="3" t="str">
        <f>"TFC000001181"</f>
        <v>TFC000001181</v>
      </c>
      <c r="D1743" s="3" t="str">
        <f>"F800-20-1312-(AR 2.9)"</f>
        <v>F800-20-1312-(AR 2.9)</v>
      </c>
      <c r="E1743" s="3" t="str">
        <f>"Felipe and Claudette"</f>
        <v>Felipe and Claudette</v>
      </c>
      <c r="F1743" s="3" t="str">
        <f>"Mark Teague"</f>
        <v>Mark Teague</v>
      </c>
      <c r="G1743" s="3" t="str">
        <f>"Orchard Books"</f>
        <v>Orchard Books</v>
      </c>
      <c r="H1743" s="2" t="str">
        <f>"2019"</f>
        <v>2019</v>
      </c>
      <c r="I1743" s="3" t="str">
        <f>""</f>
        <v/>
      </c>
    </row>
    <row r="1744" spans="1:9" x14ac:dyDescent="0.3">
      <c r="A1744" s="2">
        <v>1743</v>
      </c>
      <c r="B1744" s="4" t="s">
        <v>30</v>
      </c>
      <c r="C1744" s="3" t="str">
        <f>"TFC000001182"</f>
        <v>TFC000001182</v>
      </c>
      <c r="D1744" s="3" t="str">
        <f>"F800-20-1313-(AR 2.9)"</f>
        <v>F800-20-1313-(AR 2.9)</v>
      </c>
      <c r="E1744" s="3" t="str">
        <f>"(The)teacher from the black lagoon"</f>
        <v>(The)teacher from the black lagoon</v>
      </c>
      <c r="F1744" s="3" t="str">
        <f>"story by Mike Thaler ; pictures by Jared Lee"</f>
        <v>story by Mike Thaler ; pictures by Jared Lee</v>
      </c>
      <c r="G1744" s="3" t="str">
        <f>"Scholastic"</f>
        <v>Scholastic</v>
      </c>
      <c r="H1744" s="2" t="str">
        <f>"2008"</f>
        <v>2008</v>
      </c>
      <c r="I1744" s="3" t="str">
        <f>""</f>
        <v/>
      </c>
    </row>
    <row r="1745" spans="1:9" x14ac:dyDescent="0.3">
      <c r="A1745" s="2">
        <v>1744</v>
      </c>
      <c r="B1745" s="4" t="s">
        <v>30</v>
      </c>
      <c r="C1745" s="3" t="str">
        <f>"TFC000003680"</f>
        <v>TFC000003680</v>
      </c>
      <c r="D1745" s="3" t="str">
        <f>"F800-21-0441-(AR 2.9)"</f>
        <v>F800-21-0441-(AR 2.9)</v>
      </c>
      <c r="E1745" s="3" t="str">
        <f>"Unicorn diaries. 1:, Bo's magical new friend"</f>
        <v>Unicorn diaries. 1:, Bo's magical new friend</v>
      </c>
      <c r="F1745" s="3" t="str">
        <f>"by Rebecca Elliott"</f>
        <v>by Rebecca Elliott</v>
      </c>
      <c r="G1745" s="3" t="str">
        <f>"Branches:Scholastic"</f>
        <v>Branches:Scholastic</v>
      </c>
      <c r="H1745" s="2" t="str">
        <f>"2020"</f>
        <v>2020</v>
      </c>
      <c r="I1745" s="3" t="str">
        <f>""</f>
        <v/>
      </c>
    </row>
    <row r="1746" spans="1:9" x14ac:dyDescent="0.3">
      <c r="A1746" s="2">
        <v>1745</v>
      </c>
      <c r="B1746" s="4" t="s">
        <v>30</v>
      </c>
      <c r="C1746" s="3" t="str">
        <f>"TFC000003544"</f>
        <v>TFC000003544</v>
      </c>
      <c r="D1746" s="3" t="str">
        <f>"F800-21-0436-(AR 2.9)"</f>
        <v>F800-21-0436-(AR 2.9)</v>
      </c>
      <c r="E1746" s="3" t="str">
        <f>"Girls don't have cooties"</f>
        <v>Girls don't have cooties</v>
      </c>
      <c r="F1746" s="3" t="str">
        <f>"by Nancy Krulik ; illustrated by John &amp; Wendy"</f>
        <v>by Nancy Krulik ; illustrated by John &amp; Wendy</v>
      </c>
      <c r="G1746" s="3" t="str">
        <f>"Grosset &amp; Dunlap"</f>
        <v>Grosset &amp; Dunlap</v>
      </c>
      <c r="H1746" s="2" t="str">
        <f>"2009"</f>
        <v>2009</v>
      </c>
      <c r="I1746" s="3" t="str">
        <f>""</f>
        <v/>
      </c>
    </row>
    <row r="1747" spans="1:9" x14ac:dyDescent="0.3">
      <c r="A1747" s="2">
        <v>1746</v>
      </c>
      <c r="B1747" s="4" t="s">
        <v>30</v>
      </c>
      <c r="C1747" s="3" t="str">
        <f>"TFC000003223"</f>
        <v>TFC000003223</v>
      </c>
      <c r="D1747" s="3" t="str">
        <f>"F800-21-0421-(AR 2.9)"</f>
        <v>F800-21-0421-(AR 2.9)</v>
      </c>
      <c r="E1747" s="3" t="str">
        <f>"(The)spiffiest giant in town"</f>
        <v>(The)spiffiest giant in town</v>
      </c>
      <c r="F1747" s="3" t="str">
        <f>"by Julia Donaldson ; pictures by Axel Scheffler"</f>
        <v>by Julia Donaldson ; pictures by Axel Scheffler</v>
      </c>
      <c r="G1747" s="3" t="str">
        <f>"puffin books"</f>
        <v>puffin books</v>
      </c>
      <c r="H1747" s="2" t="str">
        <f>"2005"</f>
        <v>2005</v>
      </c>
      <c r="I1747" s="3" t="str">
        <f>""</f>
        <v/>
      </c>
    </row>
    <row r="1748" spans="1:9" x14ac:dyDescent="0.3">
      <c r="A1748" s="2">
        <v>1747</v>
      </c>
      <c r="B1748" s="4" t="s">
        <v>30</v>
      </c>
      <c r="C1748" s="3" t="str">
        <f>"TFC000002860"</f>
        <v>TFC000002860</v>
      </c>
      <c r="D1748" s="3" t="str">
        <f>"F100-20-1225-(AR 2.9)"</f>
        <v>F100-20-1225-(AR 2.9)</v>
      </c>
      <c r="E1748" s="3" t="s">
        <v>1</v>
      </c>
      <c r="F1748" s="3" t="str">
        <f>"by Brian Moses ; Mikee Gordon"</f>
        <v>by Brian Moses ; Mikee Gordon</v>
      </c>
      <c r="G1748" s="3" t="str">
        <f>"Wayland"</f>
        <v>Wayland</v>
      </c>
      <c r="H1748" s="2" t="str">
        <f>"2009"</f>
        <v>2009</v>
      </c>
      <c r="I1748" s="3" t="str">
        <f>""</f>
        <v/>
      </c>
    </row>
    <row r="1749" spans="1:9" x14ac:dyDescent="0.3">
      <c r="A1749" s="2">
        <v>1748</v>
      </c>
      <c r="B1749" s="4" t="s">
        <v>30</v>
      </c>
      <c r="C1749" s="3" t="str">
        <f>"TFC000002861"</f>
        <v>TFC000002861</v>
      </c>
      <c r="D1749" s="3" t="str">
        <f>"F900-20-1322-(AR 2.9)"</f>
        <v>F900-20-1322-(AR 2.9)</v>
      </c>
      <c r="E1749" s="3" t="str">
        <f>"Let's read about...Martin Luther King, Jr."</f>
        <v>Let's read about...Martin Luther King, Jr.</v>
      </c>
      <c r="F1749" s="3" t="str">
        <f>"by Courtney Baker ; illustrated by Cornelius Van Wright, Ying-Hwa Hu"</f>
        <v>by Courtney Baker ; illustrated by Cornelius Van Wright, Ying-Hwa Hu</v>
      </c>
      <c r="G1749" s="3" t="str">
        <f>"Scholastic"</f>
        <v>Scholastic</v>
      </c>
      <c r="H1749" s="2" t="str">
        <f>"2001"</f>
        <v>2001</v>
      </c>
      <c r="I1749" s="3" t="str">
        <f>""</f>
        <v/>
      </c>
    </row>
    <row r="1750" spans="1:9" x14ac:dyDescent="0.3">
      <c r="A1750" s="2">
        <v>1749</v>
      </c>
      <c r="B1750" s="4" t="s">
        <v>30</v>
      </c>
      <c r="C1750" s="3" t="str">
        <f>"TFC000002952"</f>
        <v>TFC000002952</v>
      </c>
      <c r="D1750" s="3" t="str">
        <f>"F900-20-1323-(AR 2.9)"</f>
        <v>F900-20-1323-(AR 2.9)</v>
      </c>
      <c r="E1750" s="3" t="str">
        <f>"Diego"</f>
        <v>Diego</v>
      </c>
      <c r="F1750" s="3" t="str">
        <f>"by Jonah Winter ; text by Jwanette Winter"</f>
        <v>by Jonah Winter ; text by Jwanette Winter</v>
      </c>
      <c r="G1750" s="3" t="str">
        <f>"Scholastic"</f>
        <v>Scholastic</v>
      </c>
      <c r="H1750" s="2" t="str">
        <f>"1991"</f>
        <v>1991</v>
      </c>
      <c r="I1750" s="3" t="str">
        <f>""</f>
        <v/>
      </c>
    </row>
    <row r="1751" spans="1:9" x14ac:dyDescent="0.3">
      <c r="A1751" s="2">
        <v>1750</v>
      </c>
      <c r="B1751" s="4" t="s">
        <v>30</v>
      </c>
      <c r="C1751" s="3" t="str">
        <f>"TFC000002953"</f>
        <v>TFC000002953</v>
      </c>
      <c r="D1751" s="3" t="str">
        <f>"F800-20-1315-(AR 2.9)"</f>
        <v>F800-20-1315-(AR 2.9)</v>
      </c>
      <c r="E1751" s="3" t="str">
        <f>"Tales for very picky eaters"</f>
        <v>Tales for very picky eaters</v>
      </c>
      <c r="F1751" s="3" t="str">
        <f>"Josh Schneider"</f>
        <v>Josh Schneider</v>
      </c>
      <c r="G1751" s="3" t="str">
        <f>"Houghton Mifflin Harcourt"</f>
        <v>Houghton Mifflin Harcourt</v>
      </c>
      <c r="H1751" s="2" t="str">
        <f>"2011"</f>
        <v>2011</v>
      </c>
      <c r="I1751" s="3" t="str">
        <f>""</f>
        <v/>
      </c>
    </row>
    <row r="1752" spans="1:9" x14ac:dyDescent="0.3">
      <c r="A1752" s="2">
        <v>1751</v>
      </c>
      <c r="B1752" s="4" t="s">
        <v>30</v>
      </c>
      <c r="C1752" s="3" t="str">
        <f>"TFC000002954"</f>
        <v>TFC000002954</v>
      </c>
      <c r="D1752" s="3" t="str">
        <f>"F400-20-1228-(AR 2.9)"</f>
        <v>F400-20-1228-(AR 2.9)</v>
      </c>
      <c r="E1752" s="3" t="str">
        <f>"Thunder and lightning"</f>
        <v>Thunder and lightning</v>
      </c>
      <c r="F1752" s="3" t="str">
        <f>"Wendy Pfeffer"</f>
        <v>Wendy Pfeffer</v>
      </c>
      <c r="G1752" s="3" t="str">
        <f>"Scholastic"</f>
        <v>Scholastic</v>
      </c>
      <c r="H1752" s="2" t="str">
        <f>"2002"</f>
        <v>2002</v>
      </c>
      <c r="I1752" s="3" t="str">
        <f>""</f>
        <v/>
      </c>
    </row>
    <row r="1753" spans="1:9" x14ac:dyDescent="0.3">
      <c r="A1753" s="2">
        <v>1752</v>
      </c>
      <c r="B1753" s="4" t="s">
        <v>30</v>
      </c>
      <c r="C1753" s="3" t="str">
        <f>"TFC000002981"</f>
        <v>TFC000002981</v>
      </c>
      <c r="D1753" s="3" t="str">
        <f>"F800-20-1316-(AR 2.9)"</f>
        <v>F800-20-1316-(AR 2.9)</v>
      </c>
      <c r="E1753" s="3" t="str">
        <f>"(The)big freeze"</f>
        <v>(The)big freeze</v>
      </c>
      <c r="F1753" s="3" t="str">
        <f>"by Laurie S. Sutton ; illustrated by Omar Lozano"</f>
        <v>by Laurie S. Sutton ; illustrated by Omar Lozano</v>
      </c>
      <c r="G1753" s="3" t="str">
        <f>"Picture Window Books"</f>
        <v>Picture Window Books</v>
      </c>
      <c r="H1753" s="2" t="str">
        <f>"2020"</f>
        <v>2020</v>
      </c>
      <c r="I1753" s="3" t="str">
        <f>""</f>
        <v/>
      </c>
    </row>
    <row r="1754" spans="1:9" x14ac:dyDescent="0.3">
      <c r="A1754" s="2">
        <v>1753</v>
      </c>
      <c r="B1754" s="4" t="s">
        <v>30</v>
      </c>
      <c r="C1754" s="3" t="str">
        <f>"TFC000003000"</f>
        <v>TFC000003000</v>
      </c>
      <c r="D1754" s="3" t="str">
        <f>"F800-20-1317-(AR 2.9)"</f>
        <v>F800-20-1317-(AR 2.9)</v>
      </c>
      <c r="E1754" s="3" t="str">
        <f>"Hard hat heroes"</f>
        <v>Hard hat heroes</v>
      </c>
      <c r="F1754" s="3" t="str">
        <f>"by Molly Beth Griffin ; illustrated by Mike Deas"</f>
        <v>by Molly Beth Griffin ; illustrated by Mike Deas</v>
      </c>
      <c r="G1754" s="3" t="str">
        <f>"Picture Window Books"</f>
        <v>Picture Window Books</v>
      </c>
      <c r="H1754" s="2" t="str">
        <f>"2020"</f>
        <v>2020</v>
      </c>
      <c r="I1754" s="3" t="str">
        <f>""</f>
        <v/>
      </c>
    </row>
    <row r="1755" spans="1:9" x14ac:dyDescent="0.3">
      <c r="A1755" s="2">
        <v>1754</v>
      </c>
      <c r="B1755" s="4" t="s">
        <v>30</v>
      </c>
      <c r="C1755" s="3" t="str">
        <f>"TFC000003053"</f>
        <v>TFC000003053</v>
      </c>
      <c r="D1755" s="3" t="str">
        <f>"F800-20-1318-(AR 2.9)"</f>
        <v>F800-20-1318-(AR 2.9)</v>
      </c>
      <c r="E1755" s="3" t="str">
        <f>"I'm trying to love math"</f>
        <v>I'm trying to love math</v>
      </c>
      <c r="F1755" s="3" t="str">
        <f>"Bethany Barton"</f>
        <v>Bethany Barton</v>
      </c>
      <c r="G1755" s="3" t="str">
        <f>"Viking"</f>
        <v>Viking</v>
      </c>
      <c r="H1755" s="2" t="str">
        <f>"2019"</f>
        <v>2019</v>
      </c>
      <c r="I1755" s="3" t="str">
        <f>""</f>
        <v/>
      </c>
    </row>
    <row r="1756" spans="1:9" x14ac:dyDescent="0.3">
      <c r="A1756" s="2">
        <v>1755</v>
      </c>
      <c r="B1756" s="4" t="s">
        <v>30</v>
      </c>
      <c r="C1756" s="3" t="str">
        <f>"TFC000003207"</f>
        <v>TFC000003207</v>
      </c>
      <c r="D1756" s="3" t="str">
        <f>"F800-21-0418-(AR 2.9)"</f>
        <v>F800-21-0418-(AR 2.9)</v>
      </c>
      <c r="E1756" s="3" t="str">
        <f>"Pink snow and other weird weather"</f>
        <v>Pink snow and other weird weather</v>
      </c>
      <c r="F1756" s="3" t="str">
        <f>"by Jennifer Dussling ; illustrated by Heidi Petach"</f>
        <v>by Jennifer Dussling ; illustrated by Heidi Petach</v>
      </c>
      <c r="G1756" s="3" t="str">
        <f>"Penguin Young Readers"</f>
        <v>Penguin Young Readers</v>
      </c>
      <c r="H1756" s="2" t="str">
        <f>"1998"</f>
        <v>1998</v>
      </c>
      <c r="I1756" s="3" t="str">
        <f>""</f>
        <v/>
      </c>
    </row>
    <row r="1757" spans="1:9" x14ac:dyDescent="0.3">
      <c r="A1757" s="2">
        <v>1756</v>
      </c>
      <c r="B1757" s="4" t="s">
        <v>30</v>
      </c>
      <c r="C1757" s="3" t="str">
        <f>"TFC000003221"</f>
        <v>TFC000003221</v>
      </c>
      <c r="D1757" s="3" t="str">
        <f>"F800-21-0419-(AR 2.9)"</f>
        <v>F800-21-0419-(AR 2.9)</v>
      </c>
      <c r="E1757" s="3" t="str">
        <f>"Horrible Harry and the kickball wedding"</f>
        <v>Horrible Harry and the kickball wedding</v>
      </c>
      <c r="F1757" s="3" t="str">
        <f>"by Suzy Kline ; pictures by Frank Remkiewicz"</f>
        <v>by Suzy Kline ; pictures by Frank Remkiewicz</v>
      </c>
      <c r="G1757" s="3" t="str">
        <f>"Puffin Books"</f>
        <v>Puffin Books</v>
      </c>
      <c r="H1757" s="2" t="str">
        <f>"1995"</f>
        <v>1995</v>
      </c>
      <c r="I1757" s="3" t="str">
        <f>""</f>
        <v/>
      </c>
    </row>
    <row r="1758" spans="1:9" x14ac:dyDescent="0.3">
      <c r="A1758" s="2">
        <v>1757</v>
      </c>
      <c r="B1758" s="4" t="s">
        <v>30</v>
      </c>
      <c r="C1758" s="3" t="str">
        <f>"TFC000003222"</f>
        <v>TFC000003222</v>
      </c>
      <c r="D1758" s="3" t="str">
        <f>"F800-21-0420-(AR 2.9)"</f>
        <v>F800-21-0420-(AR 2.9)</v>
      </c>
      <c r="E1758" s="3" t="str">
        <f>"(The)tin forest"</f>
        <v>(The)tin forest</v>
      </c>
      <c r="F1758" s="3" t="str">
        <f>"written by by Helen Ward ; illustrated by Wayne Anderson"</f>
        <v>written by by Helen Ward ; illustrated by Wayne Anderson</v>
      </c>
      <c r="G1758" s="3" t="str">
        <f>"Puffin Books"</f>
        <v>Puffin Books</v>
      </c>
      <c r="H1758" s="2" t="str">
        <f>"2003"</f>
        <v>2003</v>
      </c>
      <c r="I1758" s="3" t="str">
        <f>""</f>
        <v/>
      </c>
    </row>
    <row r="1759" spans="1:9" x14ac:dyDescent="0.3">
      <c r="A1759" s="2">
        <v>1758</v>
      </c>
      <c r="B1759" s="4" t="s">
        <v>30</v>
      </c>
      <c r="C1759" s="3" t="str">
        <f>"TFC000003226"</f>
        <v>TFC000003226</v>
      </c>
      <c r="D1759" s="3" t="str">
        <f>"F800-21-0422-(AR 2.9)"</f>
        <v>F800-21-0422-(AR 2.9)</v>
      </c>
      <c r="E1759" s="3" t="str">
        <f>"Horrible Harry and the purple people"</f>
        <v>Horrible Harry and the purple people</v>
      </c>
      <c r="F1759" s="3" t="str">
        <f>"by Suzy Kline ; pictures by Frank Remkiewicz"</f>
        <v>by Suzy Kline ; pictures by Frank Remkiewicz</v>
      </c>
      <c r="G1759" s="3" t="str">
        <f>"Puffin Books"</f>
        <v>Puffin Books</v>
      </c>
      <c r="H1759" s="2" t="str">
        <f>"2007"</f>
        <v>2007</v>
      </c>
      <c r="I1759" s="3" t="str">
        <f>""</f>
        <v/>
      </c>
    </row>
    <row r="1760" spans="1:9" x14ac:dyDescent="0.3">
      <c r="A1760" s="2">
        <v>1759</v>
      </c>
      <c r="B1760" s="4" t="s">
        <v>30</v>
      </c>
      <c r="C1760" s="3" t="str">
        <f>"TFC000003227"</f>
        <v>TFC000003227</v>
      </c>
      <c r="D1760" s="3" t="str">
        <f>"F800-21-0423-(AR 2.9)"</f>
        <v>F800-21-0423-(AR 2.9)</v>
      </c>
      <c r="E1760" s="3" t="str">
        <f>"Horrible Harry and the Christmas surprise"</f>
        <v>Horrible Harry and the Christmas surprise</v>
      </c>
      <c r="F1760" s="3" t="str">
        <f>"by Suzy Kline ; pictures by Frank Remkiewicz"</f>
        <v>by Suzy Kline ; pictures by Frank Remkiewicz</v>
      </c>
      <c r="G1760" s="3" t="str">
        <f>"Puffin Books"</f>
        <v>Puffin Books</v>
      </c>
      <c r="H1760" s="2" t="str">
        <f>"1991"</f>
        <v>1991</v>
      </c>
      <c r="I1760" s="3" t="str">
        <f>""</f>
        <v/>
      </c>
    </row>
    <row r="1761" spans="1:9" x14ac:dyDescent="0.3">
      <c r="A1761" s="2">
        <v>1760</v>
      </c>
      <c r="B1761" s="4" t="s">
        <v>30</v>
      </c>
      <c r="C1761" s="3" t="str">
        <f>"TFC000003228"</f>
        <v>TFC000003228</v>
      </c>
      <c r="D1761" s="3" t="str">
        <f>"F800-21-0424-(AR 2.9)"</f>
        <v>F800-21-0424-(AR 2.9)</v>
      </c>
      <c r="E1761" s="3" t="str">
        <f>"Curious George goes camping"</f>
        <v>Curious George goes camping</v>
      </c>
      <c r="F1761" s="3" t="str">
        <f>"by Margret Rey, H. A. Rey"</f>
        <v>by Margret Rey, H. A. Rey</v>
      </c>
      <c r="G1761" s="3" t="str">
        <f>"Houghton Mifflin"</f>
        <v>Houghton Mifflin</v>
      </c>
      <c r="H1761" s="2" t="str">
        <f>"1999"</f>
        <v>1999</v>
      </c>
      <c r="I1761" s="3" t="str">
        <f>""</f>
        <v/>
      </c>
    </row>
    <row r="1762" spans="1:9" x14ac:dyDescent="0.3">
      <c r="A1762" s="2">
        <v>1761</v>
      </c>
      <c r="B1762" s="4" t="s">
        <v>30</v>
      </c>
      <c r="C1762" s="3" t="str">
        <f>"TFC000003271"</f>
        <v>TFC000003271</v>
      </c>
      <c r="D1762" s="3" t="str">
        <f>"F800-21-0426-(AR 2.9)"</f>
        <v>F800-21-0426-(AR 2.9)</v>
      </c>
      <c r="E1762" s="3" t="str">
        <f>"Horrible Harry goes to the moon"</f>
        <v>Horrible Harry goes to the moon</v>
      </c>
      <c r="F1762" s="3" t="str">
        <f>"by Suzy Kline ; pictures by Frank Remkiewicz"</f>
        <v>by Suzy Kline ; pictures by Frank Remkiewicz</v>
      </c>
      <c r="G1762" s="3" t="str">
        <f>"Puffin Books"</f>
        <v>Puffin Books</v>
      </c>
      <c r="H1762" s="2" t="str">
        <f>"2002"</f>
        <v>2002</v>
      </c>
      <c r="I1762" s="3" t="str">
        <f>""</f>
        <v/>
      </c>
    </row>
    <row r="1763" spans="1:9" x14ac:dyDescent="0.3">
      <c r="A1763" s="2">
        <v>1762</v>
      </c>
      <c r="B1763" s="4" t="s">
        <v>30</v>
      </c>
      <c r="C1763" s="3" t="str">
        <f>"TFC000003278"</f>
        <v>TFC000003278</v>
      </c>
      <c r="D1763" s="3" t="str">
        <f>"F800-21-0427-(AR 2.9)"</f>
        <v>F800-21-0427-(AR 2.9)</v>
      </c>
      <c r="E1763" s="3" t="str">
        <f>"Junie B. Jones and Little monkey business"</f>
        <v>Junie B. Jones and Little monkey business</v>
      </c>
      <c r="F1763" s="3" t="str">
        <f>"written by Barbara Park ; illustrated by Denise Brunkus"</f>
        <v>written by Barbara Park ; illustrated by Denise Brunkus</v>
      </c>
      <c r="G1763" s="3" t="str">
        <f>"Random House"</f>
        <v>Random House</v>
      </c>
      <c r="H1763" s="2" t="str">
        <f>"1993"</f>
        <v>1993</v>
      </c>
      <c r="I1763" s="3" t="str">
        <f>""</f>
        <v/>
      </c>
    </row>
    <row r="1764" spans="1:9" x14ac:dyDescent="0.3">
      <c r="A1764" s="2">
        <v>1763</v>
      </c>
      <c r="B1764" s="4" t="s">
        <v>30</v>
      </c>
      <c r="C1764" s="3" t="str">
        <f>"TFC000003333"</f>
        <v>TFC000003333</v>
      </c>
      <c r="D1764" s="3" t="str">
        <f>"F800-21-0428-(AR 2.9)"</f>
        <v>F800-21-0428-(AR 2.9)</v>
      </c>
      <c r="E1764" s="3" t="str">
        <f>"Astrid &amp; Apollo and the fishing flop"</f>
        <v>Astrid &amp; Apollo and the fishing flop</v>
      </c>
      <c r="F1764" s="3" t="str">
        <f>"by V.T. Bidania ; illustrated by Dara Lashia Lee"</f>
        <v>by V.T. Bidania ; illustrated by Dara Lashia Lee</v>
      </c>
      <c r="G1764" s="3" t="str">
        <f>"Picture Window Books"</f>
        <v>Picture Window Books</v>
      </c>
      <c r="H1764" s="2" t="str">
        <f>"2021"</f>
        <v>2021</v>
      </c>
      <c r="I1764" s="3" t="str">
        <f>""</f>
        <v/>
      </c>
    </row>
    <row r="1765" spans="1:9" x14ac:dyDescent="0.3">
      <c r="A1765" s="2">
        <v>1764</v>
      </c>
      <c r="B1765" s="4" t="s">
        <v>30</v>
      </c>
      <c r="C1765" s="3" t="str">
        <f>"TFC000003334"</f>
        <v>TFC000003334</v>
      </c>
      <c r="D1765" s="3" t="str">
        <f>"F800-21-0429-(AR 2.9)"</f>
        <v>F800-21-0429-(AR 2.9)</v>
      </c>
      <c r="E1765" s="3" t="str">
        <f>"Astrid &amp; Apollo and the happy New Year"</f>
        <v>Astrid &amp; Apollo and the happy New Year</v>
      </c>
      <c r="F1765" s="3" t="str">
        <f>"by V. T. Bidania ; illustrated by Dara Lashia Lee"</f>
        <v>by V. T. Bidania ; illustrated by Dara Lashia Lee</v>
      </c>
      <c r="G1765" s="3" t="str">
        <f>"Picture Window Books"</f>
        <v>Picture Window Books</v>
      </c>
      <c r="H1765" s="2" t="str">
        <f>"2021"</f>
        <v>2021</v>
      </c>
      <c r="I1765" s="3" t="str">
        <f>""</f>
        <v/>
      </c>
    </row>
    <row r="1766" spans="1:9" x14ac:dyDescent="0.3">
      <c r="A1766" s="2">
        <v>1765</v>
      </c>
      <c r="B1766" s="4" t="s">
        <v>30</v>
      </c>
      <c r="C1766" s="3" t="str">
        <f>"TFC000003335"</f>
        <v>TFC000003335</v>
      </c>
      <c r="D1766" s="3" t="str">
        <f>"F400-21-0411-(AR 2.9)"</f>
        <v>F400-21-0411-(AR 2.9)</v>
      </c>
      <c r="E1766" s="3" t="str">
        <f>"Bearded dragons"</f>
        <v>Bearded dragons</v>
      </c>
      <c r="F1766" s="3" t="str">
        <f>"by Jaclyn Jaycox"</f>
        <v>by Jaclyn Jaycox</v>
      </c>
      <c r="G1766" s="3" t="str">
        <f>"Pebble"</f>
        <v>Pebble</v>
      </c>
      <c r="H1766" s="2" t="str">
        <f>"2021"</f>
        <v>2021</v>
      </c>
      <c r="I1766" s="3" t="str">
        <f>""</f>
        <v/>
      </c>
    </row>
    <row r="1767" spans="1:9" x14ac:dyDescent="0.3">
      <c r="A1767" s="2">
        <v>1766</v>
      </c>
      <c r="B1767" s="4" t="s">
        <v>30</v>
      </c>
      <c r="C1767" s="3" t="str">
        <f>"TFC000003336"</f>
        <v>TFC000003336</v>
      </c>
      <c r="D1767" s="3" t="str">
        <f>"F500-21-0415-(AR 2.9)"</f>
        <v>F500-21-0415-(AR 2.9)</v>
      </c>
      <c r="E1767" s="3" t="str">
        <f>"Erosion"</f>
        <v>Erosion</v>
      </c>
      <c r="F1767" s="3" t="str">
        <f>"by Tamra Orr"</f>
        <v>by Tamra Orr</v>
      </c>
      <c r="G1767" s="3" t="str">
        <f>"Capstone Press"</f>
        <v>Capstone Press</v>
      </c>
      <c r="H1767" s="2" t="str">
        <f>"2021"</f>
        <v>2021</v>
      </c>
      <c r="I1767" s="3" t="str">
        <f>""</f>
        <v/>
      </c>
    </row>
    <row r="1768" spans="1:9" x14ac:dyDescent="0.3">
      <c r="A1768" s="2">
        <v>1767</v>
      </c>
      <c r="B1768" s="4" t="s">
        <v>30</v>
      </c>
      <c r="C1768" s="3" t="str">
        <f>"TFC000003337"</f>
        <v>TFC000003337</v>
      </c>
      <c r="D1768" s="3" t="str">
        <f>"F500-21-0416-(AR 2.9)"</f>
        <v>F500-21-0416-(AR 2.9)</v>
      </c>
      <c r="E1768" s="3" t="str">
        <f>"Food is fuel"</f>
        <v>Food is fuel</v>
      </c>
      <c r="F1768" s="3" t="str">
        <f>"by Mari Schuh"</f>
        <v>by Mari Schuh</v>
      </c>
      <c r="G1768" s="3" t="str">
        <f>"Pebble"</f>
        <v>Pebble</v>
      </c>
      <c r="H1768" s="2" t="str">
        <f>"2021"</f>
        <v>2021</v>
      </c>
      <c r="I1768" s="3" t="str">
        <f>""</f>
        <v/>
      </c>
    </row>
    <row r="1769" spans="1:9" x14ac:dyDescent="0.3">
      <c r="A1769" s="2">
        <v>1768</v>
      </c>
      <c r="B1769" s="4" t="s">
        <v>30</v>
      </c>
      <c r="C1769" s="3" t="str">
        <f>"TFC000003338"</f>
        <v>TFC000003338</v>
      </c>
      <c r="D1769" s="3" t="str">
        <f>"F400-21-0412-(AR 2.9)"</f>
        <v>F400-21-0412-(AR 2.9)</v>
      </c>
      <c r="E1769" s="3" t="str">
        <f>"Fossils"</f>
        <v>Fossils</v>
      </c>
      <c r="F1769" s="3" t="str">
        <f>"by Keli Sipperley"</f>
        <v>by Keli Sipperley</v>
      </c>
      <c r="G1769" s="3" t="str">
        <f>"Capstone Press"</f>
        <v>Capstone Press</v>
      </c>
      <c r="H1769" s="2" t="str">
        <f>"2021"</f>
        <v>2021</v>
      </c>
      <c r="I1769" s="3" t="str">
        <f>""</f>
        <v/>
      </c>
    </row>
    <row r="1770" spans="1:9" x14ac:dyDescent="0.3">
      <c r="A1770" s="2">
        <v>1769</v>
      </c>
      <c r="B1770" s="4" t="s">
        <v>30</v>
      </c>
      <c r="C1770" s="3" t="str">
        <f>"TFC000003339"</f>
        <v>TFC000003339</v>
      </c>
      <c r="D1770" s="3" t="str">
        <f>"F800-21-0430-(AR 2.9)"</f>
        <v>F800-21-0430-(AR 2.9)</v>
      </c>
      <c r="E1770" s="3" t="str">
        <f>"Game time!"</f>
        <v>Game time!</v>
      </c>
      <c r="F1770" s="3" t="str">
        <f>"by Susan Amerikaner ; illustrated by the Disney Storybook Art Team"</f>
        <v>by Susan Amerikaner ; illustrated by the Disney Storybook Art Team</v>
      </c>
      <c r="G1770" s="3" t="str">
        <f>"Random House"</f>
        <v>Random House</v>
      </c>
      <c r="H1770" s="2" t="str">
        <f>"2018"</f>
        <v>2018</v>
      </c>
      <c r="I1770" s="3" t="str">
        <f>""</f>
        <v/>
      </c>
    </row>
    <row r="1771" spans="1:9" x14ac:dyDescent="0.3">
      <c r="A1771" s="2">
        <v>1770</v>
      </c>
      <c r="B1771" s="4" t="s">
        <v>30</v>
      </c>
      <c r="C1771" s="3" t="str">
        <f>"TFC000003340"</f>
        <v>TFC000003340</v>
      </c>
      <c r="D1771" s="3" t="str">
        <f>"F300-21-0408-(AR 2.9)"</f>
        <v>F300-21-0408-(AR 2.9)</v>
      </c>
      <c r="E1771" s="3" t="str">
        <f>"Garbage collectors"</f>
        <v>Garbage collectors</v>
      </c>
      <c r="F1771" s="3" t="str">
        <f>"by Emily Raij"</f>
        <v>by Emily Raij</v>
      </c>
      <c r="G1771" s="3" t="str">
        <f>"Pebble"</f>
        <v>Pebble</v>
      </c>
      <c r="H1771" s="2" t="str">
        <f>"2021"</f>
        <v>2021</v>
      </c>
      <c r="I1771" s="3" t="str">
        <f>""</f>
        <v/>
      </c>
    </row>
    <row r="1772" spans="1:9" x14ac:dyDescent="0.3">
      <c r="A1772" s="2">
        <v>1771</v>
      </c>
      <c r="B1772" s="4" t="s">
        <v>30</v>
      </c>
      <c r="C1772" s="3" t="str">
        <f>"TFC000003341"</f>
        <v>TFC000003341</v>
      </c>
      <c r="D1772" s="3" t="str">
        <f>"F400-21-0413-(AR 2.9)"</f>
        <v>F400-21-0413-(AR 2.9)</v>
      </c>
      <c r="E1772" s="3" t="str">
        <f>"Lemurs"</f>
        <v>Lemurs</v>
      </c>
      <c r="F1772" s="3" t="str">
        <f>"by Jaclyn Jaycox"</f>
        <v>by Jaclyn Jaycox</v>
      </c>
      <c r="G1772" s="3" t="str">
        <f>"Pebble"</f>
        <v>Pebble</v>
      </c>
      <c r="H1772" s="2" t="str">
        <f>"2021"</f>
        <v>2021</v>
      </c>
      <c r="I1772" s="3" t="str">
        <f>""</f>
        <v/>
      </c>
    </row>
    <row r="1773" spans="1:9" x14ac:dyDescent="0.3">
      <c r="A1773" s="2">
        <v>1772</v>
      </c>
      <c r="B1773" s="4" t="s">
        <v>30</v>
      </c>
      <c r="C1773" s="3" t="str">
        <f>"TFC000003342"</f>
        <v>TFC000003342</v>
      </c>
      <c r="D1773" s="3" t="str">
        <f>"F300-21-0409-(AR 2.9)"</f>
        <v>F300-21-0409-(AR 2.9)</v>
      </c>
      <c r="E1773" s="3" t="str">
        <f>"Mail carriers"</f>
        <v>Mail carriers</v>
      </c>
      <c r="F1773" s="3" t="str">
        <f>"by Mary Meinking"</f>
        <v>by Mary Meinking</v>
      </c>
      <c r="G1773" s="3" t="str">
        <f>"Pebble"</f>
        <v>Pebble</v>
      </c>
      <c r="H1773" s="2" t="str">
        <f>"2021"</f>
        <v>2021</v>
      </c>
      <c r="I1773" s="3" t="str">
        <f>""</f>
        <v/>
      </c>
    </row>
    <row r="1774" spans="1:9" x14ac:dyDescent="0.3">
      <c r="A1774" s="2">
        <v>1773</v>
      </c>
      <c r="B1774" s="4" t="s">
        <v>30</v>
      </c>
      <c r="C1774" s="3" t="str">
        <f>"TFC000003343"</f>
        <v>TFC000003343</v>
      </c>
      <c r="D1774" s="3" t="str">
        <f>"F300-21-0410-(AR 2.9)"</f>
        <v>F300-21-0410-(AR 2.9)</v>
      </c>
      <c r="E1774" s="3" t="str">
        <f>"Nurses"</f>
        <v>Nurses</v>
      </c>
      <c r="F1774" s="3" t="str">
        <f>"by Emily Raij"</f>
        <v>by Emily Raij</v>
      </c>
      <c r="G1774" s="3" t="str">
        <f>"Pebble"</f>
        <v>Pebble</v>
      </c>
      <c r="H1774" s="2" t="str">
        <f>"2021"</f>
        <v>2021</v>
      </c>
      <c r="I1774" s="3" t="str">
        <f>""</f>
        <v/>
      </c>
    </row>
    <row r="1775" spans="1:9" x14ac:dyDescent="0.3">
      <c r="A1775" s="2">
        <v>1774</v>
      </c>
      <c r="B1775" s="4" t="s">
        <v>30</v>
      </c>
      <c r="C1775" s="3" t="str">
        <f>"TFC000003344"</f>
        <v>TFC000003344</v>
      </c>
      <c r="D1775" s="3" t="str">
        <f>"F400-21-0414-(AR 2.9)"</f>
        <v>F400-21-0414-(AR 2.9)</v>
      </c>
      <c r="E1775" s="3" t="str">
        <f>"Rocks"</f>
        <v>Rocks</v>
      </c>
      <c r="F1775" s="3" t="str">
        <f>"by Tamra Orr"</f>
        <v>by Tamra Orr</v>
      </c>
      <c r="G1775" s="3" t="str">
        <f>"Pebble, a Capstone imprint"</f>
        <v>Pebble, a Capstone imprint</v>
      </c>
      <c r="H1775" s="2" t="str">
        <f>"2021"</f>
        <v>2021</v>
      </c>
      <c r="I1775" s="3" t="str">
        <f>""</f>
        <v/>
      </c>
    </row>
    <row r="1776" spans="1:9" x14ac:dyDescent="0.3">
      <c r="A1776" s="2">
        <v>1775</v>
      </c>
      <c r="B1776" s="4" t="s">
        <v>30</v>
      </c>
      <c r="C1776" s="3" t="str">
        <f>"TFC000003345"</f>
        <v>TFC000003345</v>
      </c>
      <c r="D1776" s="3" t="str">
        <f>"F500-21-0417-(AR 2.9)"</f>
        <v>F500-21-0417-(AR 2.9)</v>
      </c>
      <c r="E1776" s="3" t="str">
        <f>"Soil"</f>
        <v>Soil</v>
      </c>
      <c r="F1776" s="3" t="str">
        <f>"by Keli Sipperley"</f>
        <v>by Keli Sipperley</v>
      </c>
      <c r="G1776" s="3" t="str">
        <f>"Capstone Press"</f>
        <v>Capstone Press</v>
      </c>
      <c r="H1776" s="2" t="str">
        <f>"2021"</f>
        <v>2021</v>
      </c>
      <c r="I1776" s="3" t="str">
        <f>""</f>
        <v/>
      </c>
    </row>
    <row r="1777" spans="1:9" x14ac:dyDescent="0.3">
      <c r="A1777" s="2">
        <v>1776</v>
      </c>
      <c r="B1777" s="4" t="s">
        <v>30</v>
      </c>
      <c r="C1777" s="3" t="str">
        <f>"TFC000003427"</f>
        <v>TFC000003427</v>
      </c>
      <c r="D1777" s="3" t="str">
        <f>"F800-21-0431-(AR 2.9)"</f>
        <v>F800-21-0431-(AR 2.9)</v>
      </c>
      <c r="E1777" s="3" t="str">
        <f>"Junie B., first grader boo... and i mean it!"</f>
        <v>Junie B., first grader boo... and i mean it!</v>
      </c>
      <c r="F1777" s="3" t="str">
        <f>"written by Barbara Park ; illustrated by Denise Brunkus"</f>
        <v>written by Barbara Park ; illustrated by Denise Brunkus</v>
      </c>
      <c r="G1777" s="3" t="str">
        <f>"Random House"</f>
        <v>Random House</v>
      </c>
      <c r="H1777" s="2" t="str">
        <f>"2004"</f>
        <v>2004</v>
      </c>
      <c r="I1777" s="3" t="str">
        <f>""</f>
        <v/>
      </c>
    </row>
    <row r="1778" spans="1:9" x14ac:dyDescent="0.3">
      <c r="A1778" s="2">
        <v>1777</v>
      </c>
      <c r="B1778" s="4" t="s">
        <v>30</v>
      </c>
      <c r="C1778" s="3" t="str">
        <f>"TFC000003428"</f>
        <v>TFC000003428</v>
      </c>
      <c r="D1778" s="3" t="str">
        <f>"F800-21-0432-(AR 2.9)"</f>
        <v>F800-21-0432-(AR 2.9)</v>
      </c>
      <c r="E1778" s="3" t="str">
        <f>"Junie B. Jones Turkeys We Have Loved and Eaten(and other thankful stuff)"</f>
        <v>Junie B. Jones Turkeys We Have Loved and Eaten(and other thankful stuff)</v>
      </c>
      <c r="F1778" s="3" t="str">
        <f>"written by Barbara Park ; illustrated by Denise Brunkus"</f>
        <v>written by Barbara Park ; illustrated by Denise Brunkus</v>
      </c>
      <c r="G1778" s="3" t="str">
        <f>"Random House"</f>
        <v>Random House</v>
      </c>
      <c r="H1778" s="2" t="str">
        <f>"2012"</f>
        <v>2012</v>
      </c>
      <c r="I1778" s="3" t="str">
        <f>""</f>
        <v/>
      </c>
    </row>
    <row r="1779" spans="1:9" x14ac:dyDescent="0.3">
      <c r="A1779" s="2">
        <v>1778</v>
      </c>
      <c r="B1779" s="4" t="s">
        <v>30</v>
      </c>
      <c r="C1779" s="3" t="str">
        <f>"TFC000003429"</f>
        <v>TFC000003429</v>
      </c>
      <c r="D1779" s="3" t="str">
        <f>"F800-21-0433-(AR 2.9)"</f>
        <v>F800-21-0433-(AR 2.9)</v>
      </c>
      <c r="E1779" s="3" t="str">
        <f>"Junie B. Jones and the Stupid Smelly Bus"</f>
        <v>Junie B. Jones and the Stupid Smelly Bus</v>
      </c>
      <c r="F1779" s="3" t="str">
        <f>"written by Barbara Park ; illustrated by Denise Brunkus"</f>
        <v>written by Barbara Park ; illustrated by Denise Brunkus</v>
      </c>
      <c r="G1779" s="3" t="str">
        <f>"Random House"</f>
        <v>Random House</v>
      </c>
      <c r="H1779" s="2" t="str">
        <f>"1992"</f>
        <v>1992</v>
      </c>
      <c r="I1779" s="3" t="str">
        <f>""</f>
        <v/>
      </c>
    </row>
    <row r="1780" spans="1:9" x14ac:dyDescent="0.3">
      <c r="A1780" s="2">
        <v>1779</v>
      </c>
      <c r="B1780" s="4" t="s">
        <v>30</v>
      </c>
      <c r="C1780" s="3" t="str">
        <f>"TFC000003540"</f>
        <v>TFC000003540</v>
      </c>
      <c r="D1780" s="3" t="str">
        <f>"F800-21-0435-(AR 2.9)"</f>
        <v>F800-21-0435-(AR 2.9)</v>
      </c>
      <c r="E1780" s="3" t="str">
        <f>"Arthur's underwear"</f>
        <v>Arthur's underwear</v>
      </c>
      <c r="F1780" s="3" t="str">
        <f>"by Marc Brown"</f>
        <v>by Marc Brown</v>
      </c>
      <c r="G1780" s="3" t="str">
        <f>"Little, Brown"</f>
        <v>Little, Brown</v>
      </c>
      <c r="H1780" s="2" t="str">
        <f>"2001"</f>
        <v>2001</v>
      </c>
      <c r="I1780" s="3" t="str">
        <f>""</f>
        <v/>
      </c>
    </row>
    <row r="1781" spans="1:9" x14ac:dyDescent="0.3">
      <c r="A1781" s="2">
        <v>1780</v>
      </c>
      <c r="B1781" s="4" t="s">
        <v>30</v>
      </c>
      <c r="C1781" s="3" t="str">
        <f>"TFC000003571"</f>
        <v>TFC000003571</v>
      </c>
      <c r="D1781" s="3" t="str">
        <f>"F800-21-0437-(AR 2.9)"</f>
        <v>F800-21-0437-(AR 2.9)</v>
      </c>
      <c r="E1781" s="3" t="str">
        <f>"Eva at the beach"</f>
        <v>Eva at the beach</v>
      </c>
      <c r="F1781" s="3" t="str">
        <f>"by Rebecca Elliott"</f>
        <v>by Rebecca Elliott</v>
      </c>
      <c r="G1781" s="3" t="str">
        <f>"Scholastic"</f>
        <v>Scholastic</v>
      </c>
      <c r="H1781" s="2" t="str">
        <f>"2021"</f>
        <v>2021</v>
      </c>
      <c r="I1781" s="3" t="str">
        <f>""</f>
        <v/>
      </c>
    </row>
    <row r="1782" spans="1:9" x14ac:dyDescent="0.3">
      <c r="A1782" s="2">
        <v>1781</v>
      </c>
      <c r="B1782" s="4" t="s">
        <v>30</v>
      </c>
      <c r="C1782" s="3" t="str">
        <f>"TFC000003614"</f>
        <v>TFC000003614</v>
      </c>
      <c r="D1782" s="3" t="str">
        <f>"F800-21-0438-(AR 2.9)"</f>
        <v>F800-21-0438-(AR 2.9)</v>
      </c>
      <c r="E1782" s="3" t="str">
        <f>"Beauty and the dreaded sea beast : a graphic novel"</f>
        <v>Beauty and the dreaded sea beast : a graphic novel</v>
      </c>
      <c r="F1782" s="3" t="str">
        <f>"by Louise Simonson ; illustrated by Otis Frampton"</f>
        <v>by Louise Simonson ; illustrated by Otis Frampton</v>
      </c>
      <c r="G1782" s="3" t="str">
        <f>"Raintree"</f>
        <v>Raintree</v>
      </c>
      <c r="H1782" s="2" t="str">
        <f>"2020"</f>
        <v>2020</v>
      </c>
      <c r="I1782" s="3" t="str">
        <f>""</f>
        <v/>
      </c>
    </row>
    <row r="1783" spans="1:9" x14ac:dyDescent="0.3">
      <c r="A1783" s="2">
        <v>1782</v>
      </c>
      <c r="B1783" s="4" t="s">
        <v>30</v>
      </c>
      <c r="C1783" s="3" t="str">
        <f>"TFC000003615"</f>
        <v>TFC000003615</v>
      </c>
      <c r="D1783" s="3" t="str">
        <f>"F800-21-0439-(AR 2.9)"</f>
        <v>F800-21-0439-(AR 2.9)</v>
      </c>
      <c r="E1783" s="3" t="str">
        <f>"Goldilocks and the three vampires : a graphic novel"</f>
        <v>Goldilocks and the three vampires : a graphic novel</v>
      </c>
      <c r="F1783" s="3" t="str">
        <f>"by Laurie S. Sutton ; illustrated by C.S. Jennings"</f>
        <v>by Laurie S. Sutton ; illustrated by C.S. Jennings</v>
      </c>
      <c r="G1783" s="3" t="str">
        <f>"Stone Arch Books, a Capstone imprint"</f>
        <v>Stone Arch Books, a Capstone imprint</v>
      </c>
      <c r="H1783" s="2" t="str">
        <f>"2017"</f>
        <v>2017</v>
      </c>
      <c r="I1783" s="3" t="str">
        <f>""</f>
        <v/>
      </c>
    </row>
    <row r="1784" spans="1:9" x14ac:dyDescent="0.3">
      <c r="A1784" s="2">
        <v>1783</v>
      </c>
      <c r="B1784" s="4" t="s">
        <v>30</v>
      </c>
      <c r="C1784" s="3" t="str">
        <f>"TFC000003657"</f>
        <v>TFC000003657</v>
      </c>
      <c r="D1784" s="3" t="str">
        <f>"F800-21-0440-(AR 2.9)"</f>
        <v>F800-21-0440-(AR 2.9)</v>
      </c>
      <c r="E1784" s="3" t="str">
        <f>"Diary of a pug. 4, Pug's got talent"</f>
        <v>Diary of a pug. 4, Pug's got talent</v>
      </c>
      <c r="F1784" s="3" t="str">
        <f>"by Kyla May"</f>
        <v>by Kyla May</v>
      </c>
      <c r="G1784" s="3" t="str">
        <f>"Branches:Scholastic Inc."</f>
        <v>Branches:Scholastic Inc.</v>
      </c>
      <c r="H1784" s="2" t="str">
        <f>"2021"</f>
        <v>2021</v>
      </c>
      <c r="I1784" s="3" t="str">
        <f>""</f>
        <v/>
      </c>
    </row>
    <row r="1785" spans="1:9" x14ac:dyDescent="0.3">
      <c r="A1785" s="2">
        <v>1784</v>
      </c>
      <c r="B1785" s="4" t="s">
        <v>30</v>
      </c>
      <c r="C1785" s="3" t="str">
        <f>"TFC000003721"</f>
        <v>TFC000003721</v>
      </c>
      <c r="D1785" s="3" t="str">
        <f>"F800-21-0443-(AR 2.9)"</f>
        <v>F800-21-0443-(AR 2.9)</v>
      </c>
      <c r="E1785" s="3" t="str">
        <f>"Nate the Great, where are you?"</f>
        <v>Nate the Great, where are you?</v>
      </c>
      <c r="F1785" s="3" t="str">
        <f>"by Marjorie Weinman Sharmat and Mitchell Sharmat ; illustrated by Jody Wheeler in the style of Marc Simont"</f>
        <v>by Marjorie Weinman Sharmat and Mitchell Sharmat ; illustrated by Jody Wheeler in the style of Marc Simont</v>
      </c>
      <c r="G1785" s="3" t="str">
        <f>"Yearling Books"</f>
        <v>Yearling Books</v>
      </c>
      <c r="H1785" s="2" t="str">
        <f>"2015"</f>
        <v>2015</v>
      </c>
      <c r="I1785" s="3" t="str">
        <f>""</f>
        <v/>
      </c>
    </row>
    <row r="1786" spans="1:9" x14ac:dyDescent="0.3">
      <c r="A1786" s="2">
        <v>1785</v>
      </c>
      <c r="B1786" s="4" t="s">
        <v>30</v>
      </c>
      <c r="C1786" s="3" t="str">
        <f>"TFC000003757"</f>
        <v>TFC000003757</v>
      </c>
      <c r="D1786" s="3" t="str">
        <f>"F800-21-0444-(AR 2.9)"</f>
        <v>F800-21-0444-(AR 2.9)</v>
      </c>
      <c r="E1786" s="3" t="str">
        <f>"(The)summer camp from the black lagoon"</f>
        <v>(The)summer camp from the black lagoon</v>
      </c>
      <c r="F1786" s="3" t="str">
        <f>"by Mike Thaler ; illustraed by Jared lee"</f>
        <v>by Mike Thaler ; illustraed by Jared lee</v>
      </c>
      <c r="G1786" s="3" t="str">
        <f>"Scholastic"</f>
        <v>Scholastic</v>
      </c>
      <c r="H1786" s="2" t="str">
        <f>"2013"</f>
        <v>2013</v>
      </c>
      <c r="I1786" s="3" t="str">
        <f>""</f>
        <v/>
      </c>
    </row>
    <row r="1787" spans="1:9" x14ac:dyDescent="0.3">
      <c r="A1787" s="2">
        <v>1786</v>
      </c>
      <c r="B1787" s="4" t="s">
        <v>30</v>
      </c>
      <c r="C1787" s="3" t="str">
        <f>"TFC000003759"</f>
        <v>TFC000003759</v>
      </c>
      <c r="D1787" s="3" t="str">
        <f>"F800-21-0445-(AR 2.9)"</f>
        <v>F800-21-0445-(AR 2.9)</v>
      </c>
      <c r="E1787" s="3" t="str">
        <f>"(The)big game from the black lagoon"</f>
        <v>(The)big game from the black lagoon</v>
      </c>
      <c r="F1787" s="3" t="str">
        <f>"by Mike Thaler ; illustraed by Jared lee"</f>
        <v>by Mike Thaler ; illustraed by Jared lee</v>
      </c>
      <c r="G1787" s="3" t="str">
        <f>"Scholastic"</f>
        <v>Scholastic</v>
      </c>
      <c r="H1787" s="2" t="str">
        <f>"2013"</f>
        <v>2013</v>
      </c>
      <c r="I1787" s="3" t="str">
        <f>""</f>
        <v/>
      </c>
    </row>
    <row r="1788" spans="1:9" x14ac:dyDescent="0.3">
      <c r="A1788" s="2">
        <v>1787</v>
      </c>
      <c r="B1788" s="4" t="s">
        <v>30</v>
      </c>
      <c r="C1788" s="3" t="str">
        <f>"TFC000003823"</f>
        <v>TFC000003823</v>
      </c>
      <c r="D1788" s="3" t="str">
        <f>"F800-21-0446-(AR 2.9)"</f>
        <v>F800-21-0446-(AR 2.9)</v>
      </c>
      <c r="E1788" s="3" t="str">
        <f>"Cat kid comic club"</f>
        <v>Cat kid comic club</v>
      </c>
      <c r="F1788" s="3" t="str">
        <f>"written and illustrated by Dav Pilkey as George Beard and Harold Hutchins, color by Jose Garibaldi"</f>
        <v>written and illustrated by Dav Pilkey as George Beard and Harold Hutchins, color by Jose Garibaldi</v>
      </c>
      <c r="G1788" s="3" t="str">
        <f>"Graphix, an imprint of Scholastic"</f>
        <v>Graphix, an imprint of Scholastic</v>
      </c>
      <c r="H1788" s="2" t="str">
        <f>"2020"</f>
        <v>2020</v>
      </c>
      <c r="I1788" s="3" t="str">
        <f>""</f>
        <v/>
      </c>
    </row>
    <row r="1789" spans="1:9" x14ac:dyDescent="0.3">
      <c r="A1789" s="2">
        <v>1788</v>
      </c>
      <c r="B1789" s="4" t="s">
        <v>30</v>
      </c>
      <c r="C1789" s="3" t="str">
        <f>"TFC000003837"</f>
        <v>TFC000003837</v>
      </c>
      <c r="D1789" s="3" t="str">
        <f>"F800-21-0447-(AR 2.9)"</f>
        <v>F800-21-0447-(AR 2.9)</v>
      </c>
      <c r="E1789" s="3" t="str">
        <f>"Duck and Hippo Give Thanks"</f>
        <v>Duck and Hippo Give Thanks</v>
      </c>
      <c r="F1789" s="3" t="str">
        <f>"by Jonathan London, illustrated by Andrew Joyner"</f>
        <v>by Jonathan London, illustrated by Andrew Joyner</v>
      </c>
      <c r="G1789" s="3" t="str">
        <f>"Two Lions"</f>
        <v>Two Lions</v>
      </c>
      <c r="H1789" s="2" t="str">
        <f>"2018"</f>
        <v>2018</v>
      </c>
      <c r="I1789" s="3" t="str">
        <f>""</f>
        <v/>
      </c>
    </row>
    <row r="1790" spans="1:9" x14ac:dyDescent="0.3">
      <c r="A1790" s="2">
        <v>1789</v>
      </c>
      <c r="B1790" s="4" t="s">
        <v>30</v>
      </c>
      <c r="C1790" s="3" t="str">
        <f>"TFC000003923"</f>
        <v>TFC000003923</v>
      </c>
      <c r="D1790" s="3" t="str">
        <f>"F800-21-0448-(AR 2.9)"</f>
        <v>F800-21-0448-(AR 2.9)</v>
      </c>
      <c r="E1790" s="3" t="str">
        <f>"Ron's big mission"</f>
        <v>Ron's big mission</v>
      </c>
      <c r="F1790" s="3" t="str">
        <f>"by Rose Blue, Corinne J. Naden, illustrated by Don Tate"</f>
        <v>by Rose Blue, Corinne J. Naden, illustrated by Don Tate</v>
      </c>
      <c r="G1790" s="3" t="str">
        <f>"Dutton Childrens Books"</f>
        <v>Dutton Childrens Books</v>
      </c>
      <c r="H1790" s="2" t="str">
        <f>"2009"</f>
        <v>2009</v>
      </c>
      <c r="I1790" s="3" t="str">
        <f>""</f>
        <v/>
      </c>
    </row>
    <row r="1791" spans="1:9" x14ac:dyDescent="0.3">
      <c r="A1791" s="2">
        <v>1790</v>
      </c>
      <c r="B1791" s="4" t="s">
        <v>30</v>
      </c>
      <c r="C1791" s="3" t="str">
        <f>"TFC000003988"</f>
        <v>TFC000003988</v>
      </c>
      <c r="D1791" s="3" t="str">
        <f>"F800-21-0449-(AR 2.9)"</f>
        <v>F800-21-0449-(AR 2.9)</v>
      </c>
      <c r="E1791" s="3" t="str">
        <f>"Usha and the stolen sun"</f>
        <v>Usha and the stolen sun</v>
      </c>
      <c r="F1791" s="3" t="str">
        <f>"by Bree Galbraith, illustrated by Josee Bisaillon"</f>
        <v>by Bree Galbraith, illustrated by Josee Bisaillon</v>
      </c>
      <c r="G1791" s="3" t="str">
        <f>"Owlkids Books"</f>
        <v>Owlkids Books</v>
      </c>
      <c r="H1791" s="2" t="str">
        <f>"2020"</f>
        <v>2020</v>
      </c>
      <c r="I1791" s="3" t="str">
        <f>""</f>
        <v/>
      </c>
    </row>
    <row r="1792" spans="1:9" x14ac:dyDescent="0.3">
      <c r="A1792" s="2">
        <v>1791</v>
      </c>
      <c r="B1792" s="4" t="s">
        <v>30</v>
      </c>
      <c r="C1792" s="3" t="str">
        <f>"TFC000003992"</f>
        <v>TFC000003992</v>
      </c>
      <c r="D1792" s="3" t="str">
        <f>"F800-21-0453-(AR 2.9)"</f>
        <v>F800-21-0453-(AR 2.9)</v>
      </c>
      <c r="E1792" s="3" t="str">
        <f>"Julian, dream doctor"</f>
        <v>Julian, dream doctor</v>
      </c>
      <c r="F1792" s="3" t="str">
        <f>"by Ann Cameron, illustrated by Ann Strugnell"</f>
        <v>by Ann Cameron, illustrated by Ann Strugnell</v>
      </c>
      <c r="G1792" s="3" t="str">
        <f>"Random House"</f>
        <v>Random House</v>
      </c>
      <c r="H1792" s="2" t="str">
        <f>"1990"</f>
        <v>1990</v>
      </c>
      <c r="I1792" s="3" t="str">
        <f>""</f>
        <v/>
      </c>
    </row>
    <row r="1793" spans="1:9" x14ac:dyDescent="0.3">
      <c r="A1793" s="2">
        <v>1792</v>
      </c>
      <c r="B1793" s="4" t="s">
        <v>30</v>
      </c>
      <c r="C1793" s="3" t="str">
        <f>"TFC000004057"</f>
        <v>TFC000004057</v>
      </c>
      <c r="D1793" s="3" t="str">
        <f>"F800-21-0456-(AR 2.9)"</f>
        <v>F800-21-0456-(AR 2.9)</v>
      </c>
      <c r="E1793" s="3" t="str">
        <f>"Moon Camp"</f>
        <v>Moon Camp</v>
      </c>
      <c r="F1793" s="3" t="str">
        <f>"by Barry Gott"</f>
        <v>by Barry Gott</v>
      </c>
      <c r="G1793" s="3" t="str">
        <f>"Viking Books for Young Readers"</f>
        <v>Viking Books for Young Readers</v>
      </c>
      <c r="H1793" s="2" t="str">
        <f>"2021"</f>
        <v>2021</v>
      </c>
      <c r="I1793" s="3" t="str">
        <f>""</f>
        <v/>
      </c>
    </row>
    <row r="1794" spans="1:9" x14ac:dyDescent="0.3">
      <c r="A1794" s="2">
        <v>1793</v>
      </c>
      <c r="B1794" s="4" t="s">
        <v>30</v>
      </c>
      <c r="C1794" s="3" t="str">
        <f>"TFC000004278"</f>
        <v>TFC000004278</v>
      </c>
      <c r="D1794" s="3" t="str">
        <f>"F800-22-0018-(AR 2.9)"</f>
        <v>F800-22-0018-(AR 2.9)</v>
      </c>
      <c r="E1794" s="3" t="str">
        <f>"Press start!. 1, Game over, super rabbit boy!"</f>
        <v>Press start!. 1, Game over, super rabbit boy!</v>
      </c>
      <c r="F1794" s="3" t="str">
        <f>"by Thomas Flintham"</f>
        <v>by Thomas Flintham</v>
      </c>
      <c r="G1794" s="3" t="str">
        <f>"Branches"</f>
        <v>Branches</v>
      </c>
      <c r="H1794" s="2" t="str">
        <f>"2016"</f>
        <v>2016</v>
      </c>
      <c r="I1794" s="3" t="str">
        <f>""</f>
        <v/>
      </c>
    </row>
    <row r="1795" spans="1:9" x14ac:dyDescent="0.3">
      <c r="A1795" s="2">
        <v>1794</v>
      </c>
      <c r="B1795" s="4" t="s">
        <v>30</v>
      </c>
      <c r="C1795" s="3" t="str">
        <f>"TFC000004446"</f>
        <v>TFC000004446</v>
      </c>
      <c r="D1795" s="3" t="str">
        <f>"F800-22-0255-(AR2.9)"</f>
        <v>F800-22-0255-(AR2.9)</v>
      </c>
      <c r="E1795" s="3" t="str">
        <f>"Ear Worm!"</f>
        <v>Ear Worm!</v>
      </c>
      <c r="F1795" s="3" t="str">
        <f>"by Jo Knowles, illustrated by Galia Bernstein"</f>
        <v>by Jo Knowles, illustrated by Galia Bernstein</v>
      </c>
      <c r="G1795" s="3" t="str">
        <f>"Walker Books"</f>
        <v>Walker Books</v>
      </c>
      <c r="H1795" s="2" t="str">
        <f>"2022"</f>
        <v>2022</v>
      </c>
      <c r="I1795" s="3" t="str">
        <f>""</f>
        <v/>
      </c>
    </row>
    <row r="1796" spans="1:9" x14ac:dyDescent="0.3">
      <c r="A1796" s="2">
        <v>1795</v>
      </c>
      <c r="B1796" s="4" t="s">
        <v>30</v>
      </c>
      <c r="C1796" s="3" t="str">
        <f>"TFC000004348"</f>
        <v>TFC000004348</v>
      </c>
      <c r="D1796" s="3" t="str">
        <f>"F800-22-0157-(AR2.9)"</f>
        <v>F800-22-0157-(AR2.9)</v>
      </c>
      <c r="E1796" s="3" t="str">
        <f>"Swimmy"</f>
        <v>Swimmy</v>
      </c>
      <c r="F1796" s="3" t="str">
        <f>"by Leo Lionni"</f>
        <v>by Leo Lionni</v>
      </c>
      <c r="G1796" s="3" t="str">
        <f>"Dragonfly Books"</f>
        <v>Dragonfly Books</v>
      </c>
      <c r="H1796" s="2" t="str">
        <f>"1991"</f>
        <v>1991</v>
      </c>
      <c r="I1796" s="3" t="str">
        <f>""</f>
        <v/>
      </c>
    </row>
    <row r="1797" spans="1:9" x14ac:dyDescent="0.3">
      <c r="A1797" s="2">
        <v>1796</v>
      </c>
      <c r="B1797" s="4" t="s">
        <v>30</v>
      </c>
      <c r="C1797" s="3" t="str">
        <f>"TFC000004447"</f>
        <v>TFC000004447</v>
      </c>
      <c r="D1797" s="3" t="str">
        <f>"F900-22-0256-(AR2.9)"</f>
        <v>F900-22-0256-(AR2.9)</v>
      </c>
      <c r="E1797" s="3" t="str">
        <f>"Petra"</f>
        <v>Petra</v>
      </c>
      <c r="F1797" s="3" t="str">
        <f>"by Julie Murray"</f>
        <v>by Julie Murray</v>
      </c>
      <c r="G1797" s="3" t="str">
        <f>"Dash"</f>
        <v>Dash</v>
      </c>
      <c r="H1797" s="2" t="str">
        <f>"2021"</f>
        <v>2021</v>
      </c>
      <c r="I1797" s="3" t="str">
        <f>""</f>
        <v/>
      </c>
    </row>
    <row r="1798" spans="1:9" x14ac:dyDescent="0.3">
      <c r="A1798" s="2">
        <v>1797</v>
      </c>
      <c r="B1798" s="4" t="s">
        <v>30</v>
      </c>
      <c r="C1798" s="3" t="str">
        <f>"TFC000003989"</f>
        <v>TFC000003989</v>
      </c>
      <c r="D1798" s="3" t="str">
        <f>"F800-21-0450-1(AR 2.9)"</f>
        <v>F800-21-0450-1(AR 2.9)</v>
      </c>
      <c r="E1798" s="3" t="str">
        <f>"Bots. 1, The most annoying robots in the universe"</f>
        <v>Bots. 1, The most annoying robots in the universe</v>
      </c>
      <c r="F1798" s="3" t="str">
        <f>"by Russ Bolts, illustrated by Jay Cooper"</f>
        <v>by Russ Bolts, illustrated by Jay Cooper</v>
      </c>
      <c r="G1798" s="3" t="str">
        <f>"Little Simon"</f>
        <v>Little Simon</v>
      </c>
      <c r="H1798" s="2" t="str">
        <f>"2019"</f>
        <v>2019</v>
      </c>
      <c r="I1798" s="3" t="str">
        <f>""</f>
        <v/>
      </c>
    </row>
    <row r="1799" spans="1:9" x14ac:dyDescent="0.3">
      <c r="A1799" s="2">
        <v>1798</v>
      </c>
      <c r="B1799" s="4">
        <v>2.9</v>
      </c>
      <c r="C1799" s="3" t="str">
        <f>"TFC000001129"</f>
        <v>TFC000001129</v>
      </c>
      <c r="D1799" s="3" t="str">
        <f>"F800-S20-1260-13(AR 2.9)"</f>
        <v>F800-S20-1260-13(AR 2.9)</v>
      </c>
      <c r="E1799" s="3" t="str">
        <f>"Nate the great and the musical note"</f>
        <v>Nate the great and the musical note</v>
      </c>
      <c r="F1799" s="3" t="str">
        <f>"by Marjorie Weinman Sharmat, Craig Sharmat ; illustrated by Marc Simont"</f>
        <v>by Marjorie Weinman Sharmat, Craig Sharmat ; illustrated by Marc Simont</v>
      </c>
      <c r="G1799" s="3" t="str">
        <f>"Yearling Book"</f>
        <v>Yearling Book</v>
      </c>
      <c r="H1799" s="2" t="str">
        <f>"2007"</f>
        <v>2007</v>
      </c>
      <c r="I1799" s="3" t="str">
        <f>""</f>
        <v/>
      </c>
    </row>
    <row r="1800" spans="1:9" x14ac:dyDescent="0.3">
      <c r="A1800" s="2">
        <v>1799</v>
      </c>
      <c r="B1800" s="4">
        <v>2.9</v>
      </c>
      <c r="C1800" s="3" t="str">
        <f>"TFC000001130"</f>
        <v>TFC000001130</v>
      </c>
      <c r="D1800" s="3" t="str">
        <f>"F800-20-1261-14(AR 2.9)"</f>
        <v>F800-20-1261-14(AR 2.9)</v>
      </c>
      <c r="E1800" s="3" t="str">
        <f>"Nate the great and the stolen base"</f>
        <v>Nate the great and the stolen base</v>
      </c>
      <c r="F1800" s="3" t="str">
        <f>"by Marjorie Weinman Sharmat ; illustrated by Marc Simont"</f>
        <v>by Marjorie Weinman Sharmat ; illustrated by Marc Simont</v>
      </c>
      <c r="G1800" s="3" t="str">
        <f>"Yearling Book"</f>
        <v>Yearling Book</v>
      </c>
      <c r="H1800" s="2" t="str">
        <f>"2006"</f>
        <v>2006</v>
      </c>
      <c r="I1800" s="3" t="str">
        <f>""</f>
        <v/>
      </c>
    </row>
    <row r="1801" spans="1:9" x14ac:dyDescent="0.3">
      <c r="A1801" s="2">
        <v>1800</v>
      </c>
      <c r="B1801" s="4">
        <v>2.9</v>
      </c>
      <c r="C1801" s="3" t="str">
        <f>"TFC000001114"</f>
        <v>TFC000001114</v>
      </c>
      <c r="D1801" s="3" t="str">
        <f>"F800-20-1245-2(AR 2.9)"</f>
        <v>F800-20-1245-2(AR 2.9)</v>
      </c>
      <c r="E1801" s="3" t="str">
        <f>"Arthur's loose tooth"</f>
        <v>Arthur's loose tooth</v>
      </c>
      <c r="F1801" s="3" t="str">
        <f>"story and pictures by Lillian Hoban"</f>
        <v>story and pictures by Lillian Hoban</v>
      </c>
      <c r="G1801" s="3" t="str">
        <f>"HarperCollins Publishers"</f>
        <v>HarperCollins Publishers</v>
      </c>
      <c r="H1801" s="2" t="str">
        <f>"1985"</f>
        <v>1985</v>
      </c>
      <c r="I1801" s="3" t="str">
        <f>""</f>
        <v/>
      </c>
    </row>
    <row r="1802" spans="1:9" x14ac:dyDescent="0.3">
      <c r="A1802" s="2">
        <v>1801</v>
      </c>
      <c r="B1802" s="4">
        <v>2.9</v>
      </c>
      <c r="C1802" s="3" t="str">
        <f>"TFC000003990"</f>
        <v>TFC000003990</v>
      </c>
      <c r="D1802" s="3" t="str">
        <f>"F800-21-0451-2(AR 2.9)"</f>
        <v>F800-21-0451-2(AR 2.9)</v>
      </c>
      <c r="E1802" s="3" t="str">
        <f>"Bots. 2, The good, the bad, and the cowbots"</f>
        <v>Bots. 2, The good, the bad, and the cowbots</v>
      </c>
      <c r="F1802" s="3" t="str">
        <f>"by Russ Bolts, illustrated by Jay Cooper"</f>
        <v>by Russ Bolts, illustrated by Jay Cooper</v>
      </c>
      <c r="G1802" s="3" t="str">
        <f>"Little Simon"</f>
        <v>Little Simon</v>
      </c>
      <c r="H1802" s="2" t="str">
        <f>"2019"</f>
        <v>2019</v>
      </c>
      <c r="I1802" s="3" t="str">
        <f>""</f>
        <v/>
      </c>
    </row>
    <row r="1803" spans="1:9" x14ac:dyDescent="0.3">
      <c r="A1803" s="2">
        <v>1802</v>
      </c>
      <c r="B1803" s="4">
        <v>2.9</v>
      </c>
      <c r="C1803" s="3" t="str">
        <f>"TFC000001131"</f>
        <v>TFC000001131</v>
      </c>
      <c r="D1803" s="3" t="str">
        <f>"F800-20-1262-21(AR 2.9)"</f>
        <v>F800-20-1262-21(AR 2.9)</v>
      </c>
      <c r="E1803" s="3" t="str">
        <f>"Nate the great saves the king of Sweden"</f>
        <v>Nate the great saves the king of Sweden</v>
      </c>
      <c r="F1803" s="3" t="str">
        <f>"by Marjorie Weinman Sharmat ; illustrated by Marc Simont"</f>
        <v>by Marjorie Weinman Sharmat ; illustrated by Marc Simont</v>
      </c>
      <c r="G1803" s="3" t="str">
        <f>"Yearling Book"</f>
        <v>Yearling Book</v>
      </c>
      <c r="H1803" s="2" t="str">
        <f>"2006"</f>
        <v>2006</v>
      </c>
      <c r="I1803" s="3" t="str">
        <f>""</f>
        <v/>
      </c>
    </row>
    <row r="1804" spans="1:9" x14ac:dyDescent="0.3">
      <c r="A1804" s="2">
        <v>1803</v>
      </c>
      <c r="B1804" s="4">
        <v>2.9</v>
      </c>
      <c r="C1804" s="3" t="str">
        <f>"TFC000001132"</f>
        <v>TFC000001132</v>
      </c>
      <c r="D1804" s="3" t="str">
        <f>"F800-20-1263-22(AR 2.9)"</f>
        <v>F800-20-1263-22(AR 2.9)</v>
      </c>
      <c r="E1804" s="3" t="str">
        <f>"Nate the great and the monster mess"</f>
        <v>Nate the great and the monster mess</v>
      </c>
      <c r="F1804" s="3" t="str">
        <f>"by Marjorie Weinman Sharmat ; illustrated by Martha Weston"</f>
        <v>by Marjorie Weinman Sharmat ; illustrated by Martha Weston</v>
      </c>
      <c r="G1804" s="3" t="str">
        <f>"Yearling Book"</f>
        <v>Yearling Book</v>
      </c>
      <c r="H1804" s="2" t="str">
        <f>"2005"</f>
        <v>2005</v>
      </c>
      <c r="I1804" s="3" t="str">
        <f>""</f>
        <v/>
      </c>
    </row>
    <row r="1805" spans="1:9" x14ac:dyDescent="0.3">
      <c r="A1805" s="2">
        <v>1804</v>
      </c>
      <c r="B1805" s="4">
        <v>2.9</v>
      </c>
      <c r="C1805" s="3" t="str">
        <f>"TFC000001133"</f>
        <v>TFC000001133</v>
      </c>
      <c r="D1805" s="3" t="str">
        <f>"F800-20-1264-25(AR 2.9)"</f>
        <v>F800-20-1264-25(AR 2.9)</v>
      </c>
      <c r="E1805" s="3" t="str">
        <f>"Nate the great talks turkey : with help from Olivia Sharp"</f>
        <v>Nate the great talks turkey : with help from Olivia Sharp</v>
      </c>
      <c r="F1805" s="3" t="str">
        <f>"by Marjorie Weinman Sharmat, Mitchell Sharmat ; illustrated by Jody Wheeler"</f>
        <v>by Marjorie Weinman Sharmat, Mitchell Sharmat ; illustrated by Jody Wheeler</v>
      </c>
      <c r="G1805" s="3" t="str">
        <f>"Yearling Book"</f>
        <v>Yearling Book</v>
      </c>
      <c r="H1805" s="2" t="str">
        <f>"2007"</f>
        <v>2007</v>
      </c>
      <c r="I1805" s="3" t="str">
        <f>""</f>
        <v/>
      </c>
    </row>
    <row r="1806" spans="1:9" x14ac:dyDescent="0.3">
      <c r="A1806" s="2">
        <v>1805</v>
      </c>
      <c r="B1806" s="4">
        <v>2.9</v>
      </c>
      <c r="C1806" s="3" t="str">
        <f>"TFC000001115"</f>
        <v>TFC000001115</v>
      </c>
      <c r="D1806" s="3" t="str">
        <f>"F800-20-1246-3(AR 2.9)"</f>
        <v>F800-20-1246-3(AR 2.9)</v>
      </c>
      <c r="E1806" s="3" t="str">
        <f>"Arthur's prize reader"</f>
        <v>Arthur's prize reader</v>
      </c>
      <c r="F1806" s="3" t="str">
        <f>"Lillian Hoban"</f>
        <v>Lillian Hoban</v>
      </c>
      <c r="G1806" s="3" t="str">
        <f>"HarperTrophy"</f>
        <v>HarperTrophy</v>
      </c>
      <c r="H1806" s="2" t="str">
        <f>"1978"</f>
        <v>1978</v>
      </c>
      <c r="I1806" s="3" t="str">
        <f>""</f>
        <v/>
      </c>
    </row>
    <row r="1807" spans="1:9" x14ac:dyDescent="0.3">
      <c r="A1807" s="2">
        <v>1806</v>
      </c>
      <c r="B1807" s="4">
        <v>2.9</v>
      </c>
      <c r="C1807" s="3" t="str">
        <f>"TFC000004157"</f>
        <v>TFC000004157</v>
      </c>
      <c r="D1807" s="3" t="str">
        <f>"F800-21-0457-3(AR 2.9)"</f>
        <v>F800-21-0457-3(AR 2.9)</v>
      </c>
      <c r="E1807" s="3" t="str">
        <f>"(A)Woodland wedding"</f>
        <v>(A)Woodland wedding</v>
      </c>
      <c r="F1807" s="3" t="str">
        <f>"by Rebecca Elliott"</f>
        <v>by Rebecca Elliott</v>
      </c>
      <c r="G1807" s="3" t="str">
        <f>"Scholastic"</f>
        <v>Scholastic</v>
      </c>
      <c r="H1807" s="2" t="str">
        <f>"2016"</f>
        <v>2016</v>
      </c>
      <c r="I1807" s="3" t="str">
        <f>""</f>
        <v/>
      </c>
    </row>
    <row r="1808" spans="1:9" x14ac:dyDescent="0.3">
      <c r="A1808" s="2">
        <v>1807</v>
      </c>
      <c r="B1808" s="4">
        <v>2.9</v>
      </c>
      <c r="C1808" s="3" t="str">
        <f>"TFC000004158"</f>
        <v>TFC000004158</v>
      </c>
      <c r="D1808" s="3" t="str">
        <f>"F800-21-0458-6(AR 2.9)"</f>
        <v>F800-21-0458-6(AR 2.9)</v>
      </c>
      <c r="E1808" s="3" t="str">
        <f>"Baxter is Missing"</f>
        <v>Baxter is Missing</v>
      </c>
      <c r="F1808" s="3" t="str">
        <f>"by Rebecca Elliott"</f>
        <v>by Rebecca Elliott</v>
      </c>
      <c r="G1808" s="3" t="str">
        <f>"Scholastic Inc"</f>
        <v>Scholastic Inc</v>
      </c>
      <c r="H1808" s="2" t="str">
        <f>"2017"</f>
        <v>2017</v>
      </c>
      <c r="I1808" s="3" t="str">
        <f>""</f>
        <v/>
      </c>
    </row>
    <row r="1809" spans="1:9" x14ac:dyDescent="0.3">
      <c r="A1809" s="2">
        <v>1808</v>
      </c>
      <c r="B1809" s="4">
        <v>2.9</v>
      </c>
      <c r="C1809" s="3" t="str">
        <f>"TFC000001127"</f>
        <v>TFC000001127</v>
      </c>
      <c r="D1809" s="3" t="str">
        <f>"F800-20-1258-7(AR 2.9)"</f>
        <v>F800-20-1258-7(AR 2.9)</v>
      </c>
      <c r="E1809" s="3" t="str">
        <f>"Nate the great and the Halloween hunt"</f>
        <v>Nate the great and the Halloween hunt</v>
      </c>
      <c r="F1809" s="3" t="str">
        <f>"by Marjorie Weinman Sharmat ; illustrated by Marc Simont"</f>
        <v>by Marjorie Weinman Sharmat ; illustrated by Marc Simont</v>
      </c>
      <c r="G1809" s="3" t="str">
        <f>"Yearling Book"</f>
        <v>Yearling Book</v>
      </c>
      <c r="H1809" s="2" t="str">
        <f>"2005"</f>
        <v>2005</v>
      </c>
      <c r="I1809" s="3" t="str">
        <f>""</f>
        <v/>
      </c>
    </row>
    <row r="1810" spans="1:9" x14ac:dyDescent="0.3">
      <c r="A1810" s="2">
        <v>1809</v>
      </c>
      <c r="B1810" s="4">
        <v>2.9</v>
      </c>
      <c r="C1810" s="3" t="str">
        <f>"TFC000003991"</f>
        <v>TFC000003991</v>
      </c>
      <c r="D1810" s="3" t="str">
        <f>"F800-21-0452-7(AR 2.9)"</f>
        <v>F800-21-0452-7(AR 2.9)</v>
      </c>
      <c r="E1810" s="3" t="str">
        <f>"(The)Baby-sitters Club. 7, Boy-crazy Stacey"</f>
        <v>(The)Baby-sitters Club. 7, Boy-crazy Stacey</v>
      </c>
      <c r="F1810" s="3" t="str">
        <f>"by Ann M. Martin, a graphic novel by Gale Galligan, with color by Braden Lamb"</f>
        <v>by Ann M. Martin, a graphic novel by Gale Galligan, with color by Braden Lamb</v>
      </c>
      <c r="G1810" s="3" t="str">
        <f>"Graphix"</f>
        <v>Graphix</v>
      </c>
      <c r="H1810" s="2" t="str">
        <f>"2019"</f>
        <v>2019</v>
      </c>
      <c r="I1810" s="3" t="str">
        <f>""</f>
        <v/>
      </c>
    </row>
    <row r="1811" spans="1:9" x14ac:dyDescent="0.3">
      <c r="A1811" s="2">
        <v>1810</v>
      </c>
      <c r="B1811" s="4" t="s">
        <v>31</v>
      </c>
      <c r="C1811" s="3" t="str">
        <f>"TFC000001214"</f>
        <v>TFC000001214</v>
      </c>
      <c r="D1811" s="3" t="str">
        <f>"F800-20-1358-(AR 3.0)"</f>
        <v>F800-20-1358-(AR 3.0)</v>
      </c>
      <c r="E1811" s="3" t="str">
        <f>"(The)sorcerer's apprentice"</f>
        <v>(The)sorcerer's apprentice</v>
      </c>
      <c r="F1811" s="3" t="str">
        <f>"retold by Fiona Chandler ; illustrated by Poly Bernatene"</f>
        <v>retold by Fiona Chandler ; illustrated by Poly Bernatene</v>
      </c>
      <c r="G1811" s="3" t="str">
        <f>"Usborne"</f>
        <v>Usborne</v>
      </c>
      <c r="H1811" s="2" t="str">
        <f>"2007"</f>
        <v>2007</v>
      </c>
      <c r="I1811" s="2" t="s">
        <v>2</v>
      </c>
    </row>
    <row r="1812" spans="1:9" x14ac:dyDescent="0.3">
      <c r="A1812" s="2">
        <v>1811</v>
      </c>
      <c r="B1812" s="4" t="s">
        <v>31</v>
      </c>
      <c r="C1812" s="3" t="str">
        <f>"TFC000001253"</f>
        <v>TFC000001253</v>
      </c>
      <c r="D1812" s="3" t="str">
        <f>"F800-20-1396-(AR 3.0)"</f>
        <v>F800-20-1396-(AR 3.0)</v>
      </c>
      <c r="E1812" s="3" t="str">
        <f>"On the night you were born"</f>
        <v>On the night you were born</v>
      </c>
      <c r="F1812" s="3" t="str">
        <f>"Nancy Tillman"</f>
        <v>Nancy Tillman</v>
      </c>
      <c r="G1812" s="3" t="str">
        <f>"Feiwel and Friends"</f>
        <v>Feiwel and Friends</v>
      </c>
      <c r="H1812" s="2" t="str">
        <f>"2006"</f>
        <v>2006</v>
      </c>
      <c r="I1812" s="2" t="s">
        <v>2</v>
      </c>
    </row>
    <row r="1813" spans="1:9" x14ac:dyDescent="0.3">
      <c r="A1813" s="2">
        <v>1812</v>
      </c>
      <c r="B1813" s="4" t="s">
        <v>31</v>
      </c>
      <c r="C1813" s="3" t="str">
        <f>"TFC000001242"</f>
        <v>TFC000001242</v>
      </c>
      <c r="D1813" s="3" t="str">
        <f>"F800-20-1386-(AR 3.0)"</f>
        <v>F800-20-1386-(AR 3.0)</v>
      </c>
      <c r="E1813" s="3" t="str">
        <f>"Stories of cowboys"</f>
        <v>Stories of cowboys</v>
      </c>
      <c r="F1813" s="3" t="str">
        <f>"retold by Russell Punter ; illustrated by Fabiano Fiorin"</f>
        <v>retold by Russell Punter ; illustrated by Fabiano Fiorin</v>
      </c>
      <c r="G1813" s="3" t="str">
        <f>"Usborne"</f>
        <v>Usborne</v>
      </c>
      <c r="H1813" s="2" t="str">
        <f>"2007"</f>
        <v>2007</v>
      </c>
      <c r="I1813" s="2" t="s">
        <v>2</v>
      </c>
    </row>
    <row r="1814" spans="1:9" x14ac:dyDescent="0.3">
      <c r="A1814" s="2">
        <v>1813</v>
      </c>
      <c r="B1814" s="4" t="s">
        <v>31</v>
      </c>
      <c r="C1814" s="3" t="str">
        <f>"TFC000001239"</f>
        <v>TFC000001239</v>
      </c>
      <c r="D1814" s="3" t="str">
        <f>"F800-20-1383-(AR 3.0)"</f>
        <v>F800-20-1383-(AR 3.0)</v>
      </c>
      <c r="E1814" s="3" t="str">
        <f>"Junie B. Jones is not a crook"</f>
        <v>Junie B. Jones is not a crook</v>
      </c>
      <c r="F1814" s="3" t="str">
        <f>"by Barbara Park ; illustrated by Denise Brunkus"</f>
        <v>by Barbara Park ; illustrated by Denise Brunkus</v>
      </c>
      <c r="G1814" s="3" t="str">
        <f>"Random House"</f>
        <v>Random House</v>
      </c>
      <c r="H1814" s="2" t="str">
        <f>"1997"</f>
        <v>1997</v>
      </c>
      <c r="I1814" s="2" t="s">
        <v>2</v>
      </c>
    </row>
    <row r="1815" spans="1:9" x14ac:dyDescent="0.3">
      <c r="A1815" s="2">
        <v>1814</v>
      </c>
      <c r="B1815" s="4" t="s">
        <v>31</v>
      </c>
      <c r="C1815" s="3" t="str">
        <f>"TFC000001238"</f>
        <v>TFC000001238</v>
      </c>
      <c r="D1815" s="3" t="str">
        <f>"F800-20-1382-(AR 3.0)"</f>
        <v>F800-20-1382-(AR 3.0)</v>
      </c>
      <c r="E1815" s="3" t="str">
        <f>"Junie B. Jones and her big fat mouth"</f>
        <v>Junie B. Jones and her big fat mouth</v>
      </c>
      <c r="F1815" s="3" t="str">
        <f>"by Barbara Park ; illustrated by Denise Brunkus"</f>
        <v>by Barbara Park ; illustrated by Denise Brunkus</v>
      </c>
      <c r="G1815" s="3" t="str">
        <f>"Random House"</f>
        <v>Random House</v>
      </c>
      <c r="H1815" s="2" t="str">
        <f>"1993"</f>
        <v>1993</v>
      </c>
      <c r="I1815" s="2" t="s">
        <v>2</v>
      </c>
    </row>
    <row r="1816" spans="1:9" x14ac:dyDescent="0.3">
      <c r="A1816" s="2">
        <v>1815</v>
      </c>
      <c r="B1816" s="4" t="s">
        <v>31</v>
      </c>
      <c r="C1816" s="3" t="str">
        <f>"TFC000004163"</f>
        <v>TFC000004163</v>
      </c>
      <c r="D1816" s="3" t="str">
        <f>"F800-21-0501-(AR 3.0)"</f>
        <v>F800-21-0501-(AR 3.0)</v>
      </c>
      <c r="E1816" s="3" t="str">
        <f>"(The)Biggest snowman ever"</f>
        <v>(The)Biggest snowman ever</v>
      </c>
      <c r="F1816" s="3" t="str">
        <f>"by Steven Kroll, illustrated by Jeni Bassett"</f>
        <v>by Steven Kroll, illustrated by Jeni Bassett</v>
      </c>
      <c r="G1816" s="3" t="str">
        <f>"Scholastic INC."</f>
        <v>Scholastic INC.</v>
      </c>
      <c r="H1816" s="2" t="str">
        <f>"2005"</f>
        <v>2005</v>
      </c>
      <c r="I1816" s="2" t="s">
        <v>2</v>
      </c>
    </row>
    <row r="1817" spans="1:9" x14ac:dyDescent="0.3">
      <c r="A1817" s="2">
        <v>1816</v>
      </c>
      <c r="B1817" s="4" t="s">
        <v>31</v>
      </c>
      <c r="C1817" s="3" t="str">
        <f>"TFC000003785"</f>
        <v>TFC000003785</v>
      </c>
      <c r="D1817" s="3" t="str">
        <f>"F800-21-0483-(AR 3.0)"</f>
        <v>F800-21-0483-(AR 3.0)</v>
      </c>
      <c r="E1817" s="3" t="str">
        <f>"Sparky!"</f>
        <v>Sparky!</v>
      </c>
      <c r="F1817" s="3" t="str">
        <f>"written by Jenny Offill ; illustrated by Chris Appelhans"</f>
        <v>written by Jenny Offill ; illustrated by Chris Appelhans</v>
      </c>
      <c r="G1817" s="3" t="str">
        <f>"Schwartz &amp; Wade Books"</f>
        <v>Schwartz &amp; Wade Books</v>
      </c>
      <c r="H1817" s="2" t="str">
        <f>"2014"</f>
        <v>2014</v>
      </c>
      <c r="I1817" s="3" t="str">
        <f>""</f>
        <v/>
      </c>
    </row>
    <row r="1818" spans="1:9" x14ac:dyDescent="0.3">
      <c r="A1818" s="2">
        <v>1817</v>
      </c>
      <c r="B1818" s="4" t="s">
        <v>31</v>
      </c>
      <c r="C1818" s="3" t="str">
        <f>"TFC000001184"</f>
        <v>TFC000001184</v>
      </c>
      <c r="D1818" s="3" t="str">
        <f>"F400-20-1324-(AR 3.0)"</f>
        <v>F400-20-1324-(AR 3.0)</v>
      </c>
      <c r="E1818" s="3" t="str">
        <f>"Where do puddles go?"</f>
        <v>Where do puddles go?</v>
      </c>
      <c r="F1818" s="3" t="str">
        <f>"by Fay Robinson"</f>
        <v>by Fay Robinson</v>
      </c>
      <c r="G1818" s="3" t="str">
        <f>"Children's Press"</f>
        <v>Children's Press</v>
      </c>
      <c r="H1818" s="2" t="str">
        <f>"1995"</f>
        <v>1995</v>
      </c>
      <c r="I1818" s="3" t="str">
        <f>""</f>
        <v/>
      </c>
    </row>
    <row r="1819" spans="1:9" x14ac:dyDescent="0.3">
      <c r="A1819" s="2">
        <v>1818</v>
      </c>
      <c r="B1819" s="4" t="s">
        <v>31</v>
      </c>
      <c r="C1819" s="3" t="str">
        <f>"TFC000001185"</f>
        <v>TFC000001185</v>
      </c>
      <c r="D1819" s="3" t="str">
        <f>"F400-20-1325-(AR 3.0)"</f>
        <v>F400-20-1325-(AR 3.0)</v>
      </c>
      <c r="E1819" s="3" t="str">
        <f>"What do you do with a tail like this?"</f>
        <v>What do you do with a tail like this?</v>
      </c>
      <c r="F1819" s="3" t="str">
        <f>"by Steve Jenkins, Robin Page."</f>
        <v>by Steve Jenkins, Robin Page.</v>
      </c>
      <c r="G1819" s="3" t="str">
        <f>"Houghton Mifflin Company"</f>
        <v>Houghton Mifflin Company</v>
      </c>
      <c r="H1819" s="2" t="str">
        <f>"2003"</f>
        <v>2003</v>
      </c>
      <c r="I1819" s="3" t="str">
        <f>""</f>
        <v/>
      </c>
    </row>
    <row r="1820" spans="1:9" x14ac:dyDescent="0.3">
      <c r="A1820" s="2">
        <v>1819</v>
      </c>
      <c r="B1820" s="4" t="s">
        <v>31</v>
      </c>
      <c r="C1820" s="3" t="str">
        <f>"TFC000001186"</f>
        <v>TFC000001186</v>
      </c>
      <c r="D1820" s="3" t="str">
        <f>"F400-20-1326-(AR 3.0)"</f>
        <v>F400-20-1326-(AR 3.0)</v>
      </c>
      <c r="E1820" s="3" t="str">
        <f>"When rain falls"</f>
        <v>When rain falls</v>
      </c>
      <c r="F1820" s="3" t="str">
        <f>"written by Melissa Stewart ; illustrated by Constance R. Bergum"</f>
        <v>written by Melissa Stewart ; illustrated by Constance R. Bergum</v>
      </c>
      <c r="G1820" s="3" t="str">
        <f>"Peachtree"</f>
        <v>Peachtree</v>
      </c>
      <c r="H1820" s="2" t="str">
        <f>"2008"</f>
        <v>2008</v>
      </c>
      <c r="I1820" s="3" t="str">
        <f>""</f>
        <v/>
      </c>
    </row>
    <row r="1821" spans="1:9" x14ac:dyDescent="0.3">
      <c r="A1821" s="2">
        <v>1820</v>
      </c>
      <c r="B1821" s="4" t="s">
        <v>31</v>
      </c>
      <c r="C1821" s="3" t="str">
        <f>"TFC000001187"</f>
        <v>TFC000001187</v>
      </c>
      <c r="D1821" s="3" t="str">
        <f>"F400-20-1327-(AR 3.0)"</f>
        <v>F400-20-1327-(AR 3.0)</v>
      </c>
      <c r="E1821" s="3" t="str">
        <f>"S-S-Snakes!"</f>
        <v>S-S-Snakes!</v>
      </c>
      <c r="F1821" s="3" t="str">
        <f>"by Lucille Recht Penner ; illustrated by Peter Barrett"</f>
        <v>by Lucille Recht Penner ; illustrated by Peter Barrett</v>
      </c>
      <c r="G1821" s="3" t="str">
        <f>"Random House"</f>
        <v>Random House</v>
      </c>
      <c r="H1821" s="2" t="str">
        <f>"2009"</f>
        <v>2009</v>
      </c>
      <c r="I1821" s="3" t="str">
        <f>""</f>
        <v/>
      </c>
    </row>
    <row r="1822" spans="1:9" x14ac:dyDescent="0.3">
      <c r="A1822" s="2">
        <v>1821</v>
      </c>
      <c r="B1822" s="4" t="s">
        <v>31</v>
      </c>
      <c r="C1822" s="3" t="str">
        <f>"TFC000001188"</f>
        <v>TFC000001188</v>
      </c>
      <c r="D1822" s="3" t="str">
        <f>"F800-20-1332-(AR 3.0)"</f>
        <v>F800-20-1332-(AR 3.0)</v>
      </c>
      <c r="E1822" s="3" t="str">
        <f>"Arthur＇s mystery envelope"</f>
        <v>Arthur＇s mystery envelope</v>
      </c>
      <c r="F1822" s="3" t="str">
        <f>"by Marc Brown ; text by Stephen Krensky"</f>
        <v>by Marc Brown ; text by Stephen Krensky</v>
      </c>
      <c r="G1822" s="3" t="str">
        <f>"Little, Brown and Company"</f>
        <v>Little, Brown and Company</v>
      </c>
      <c r="H1822" s="2" t="str">
        <f>"1998"</f>
        <v>1998</v>
      </c>
      <c r="I1822" s="3" t="str">
        <f>""</f>
        <v/>
      </c>
    </row>
    <row r="1823" spans="1:9" x14ac:dyDescent="0.3">
      <c r="A1823" s="2">
        <v>1822</v>
      </c>
      <c r="B1823" s="4" t="s">
        <v>31</v>
      </c>
      <c r="C1823" s="3" t="str">
        <f>"TFC000001189"</f>
        <v>TFC000001189</v>
      </c>
      <c r="D1823" s="3" t="str">
        <f>"F800-20-1333-(AR 3.0)"</f>
        <v>F800-20-1333-(AR 3.0)</v>
      </c>
      <c r="E1823" s="3" t="str">
        <f>"Arthur and the crunch cereal contest"</f>
        <v>Arthur and the crunch cereal contest</v>
      </c>
      <c r="F1823" s="3" t="str">
        <f>"by Marc Brown ; text by Stephen Krensky"</f>
        <v>by Marc Brown ; text by Stephen Krensky</v>
      </c>
      <c r="G1823" s="3" t="str">
        <f>"Little, Brown and Company"</f>
        <v>Little, Brown and Company</v>
      </c>
      <c r="H1823" s="2" t="str">
        <f>"1998"</f>
        <v>1998</v>
      </c>
      <c r="I1823" s="3" t="str">
        <f>""</f>
        <v/>
      </c>
    </row>
    <row r="1824" spans="1:9" x14ac:dyDescent="0.3">
      <c r="A1824" s="2">
        <v>1823</v>
      </c>
      <c r="B1824" s="4" t="s">
        <v>31</v>
      </c>
      <c r="C1824" s="3" t="str">
        <f>"TFC000001190"</f>
        <v>TFC000001190</v>
      </c>
      <c r="D1824" s="3" t="str">
        <f>"F800-20-1334-(AR 3.0)"</f>
        <v>F800-20-1334-(AR 3.0)</v>
      </c>
      <c r="E1824" s="3" t="str">
        <f>"Who's in love with Arthur?"</f>
        <v>Who's in love with Arthur?</v>
      </c>
      <c r="F1824" s="3" t="str">
        <f>"by Marc Brown ; text by Stephen Krensky"</f>
        <v>by Marc Brown ; text by Stephen Krensky</v>
      </c>
      <c r="G1824" s="3" t="str">
        <f>"Little, Brown"</f>
        <v>Little, Brown</v>
      </c>
      <c r="H1824" s="2" t="str">
        <f>"2012"</f>
        <v>2012</v>
      </c>
      <c r="I1824" s="3" t="str">
        <f>""</f>
        <v/>
      </c>
    </row>
    <row r="1825" spans="1:9" x14ac:dyDescent="0.3">
      <c r="A1825" s="2">
        <v>1824</v>
      </c>
      <c r="B1825" s="4" t="s">
        <v>31</v>
      </c>
      <c r="C1825" s="3" t="str">
        <f>"TFC000001191"</f>
        <v>TFC000001191</v>
      </c>
      <c r="D1825" s="3" t="str">
        <f>"F800-20-1335-(AR 3.0)"</f>
        <v>F800-20-1335-(AR 3.0)</v>
      </c>
      <c r="E1825" s="3" t="str">
        <f>"Arthur's christmas"</f>
        <v>Arthur's christmas</v>
      </c>
      <c r="F1825" s="3" t="str">
        <f>"by Marc Brown"</f>
        <v>by Marc Brown</v>
      </c>
      <c r="G1825" s="3" t="str">
        <f>"Little, Brown and Company"</f>
        <v>Little, Brown and Company</v>
      </c>
      <c r="H1825" s="2" t="str">
        <f>"2011"</f>
        <v>2011</v>
      </c>
      <c r="I1825" s="3" t="str">
        <f>""</f>
        <v/>
      </c>
    </row>
    <row r="1826" spans="1:9" x14ac:dyDescent="0.3">
      <c r="A1826" s="2">
        <v>1825</v>
      </c>
      <c r="B1826" s="4" t="s">
        <v>31</v>
      </c>
      <c r="C1826" s="3" t="str">
        <f>"TFC000001192"</f>
        <v>TFC000001192</v>
      </c>
      <c r="D1826" s="3" t="str">
        <f>"F800-20-1336-(AR 3.0)"</f>
        <v>F800-20-1336-(AR 3.0)</v>
      </c>
      <c r="E1826" s="3" t="str">
        <f>"Willy's pictures"</f>
        <v>Willy's pictures</v>
      </c>
      <c r="F1826" s="3" t="str">
        <f>"by Anthony Browne"</f>
        <v>by Anthony Browne</v>
      </c>
      <c r="G1826" s="3" t="str">
        <f>"Walker Books"</f>
        <v>Walker Books</v>
      </c>
      <c r="H1826" s="2" t="str">
        <f>"2008"</f>
        <v>2008</v>
      </c>
      <c r="I1826" s="3" t="str">
        <f>""</f>
        <v/>
      </c>
    </row>
    <row r="1827" spans="1:9" x14ac:dyDescent="0.3">
      <c r="A1827" s="2">
        <v>1826</v>
      </c>
      <c r="B1827" s="4" t="s">
        <v>31</v>
      </c>
      <c r="C1827" s="3" t="str">
        <f>"TFC000001193"</f>
        <v>TFC000001193</v>
      </c>
      <c r="D1827" s="3" t="str">
        <f>"F800-20-1337-(AR 3.0)"</f>
        <v>F800-20-1337-(AR 3.0)</v>
      </c>
      <c r="E1827" s="3" t="str">
        <f>"Strega Nona"</f>
        <v>Strega Nona</v>
      </c>
      <c r="F1827" s="3" t="str">
        <f>"an original tale written and illustrated by Tomie DePaola"</f>
        <v>an original tale written and illustrated by Tomie DePaola</v>
      </c>
      <c r="G1827" s="3" t="str">
        <f>"Aladdin Paperbacks"</f>
        <v>Aladdin Paperbacks</v>
      </c>
      <c r="H1827" s="2" t="str">
        <f>"2009"</f>
        <v>2009</v>
      </c>
      <c r="I1827" s="3" t="str">
        <f>""</f>
        <v/>
      </c>
    </row>
    <row r="1828" spans="1:9" x14ac:dyDescent="0.3">
      <c r="A1828" s="2">
        <v>1827</v>
      </c>
      <c r="B1828" s="4" t="s">
        <v>31</v>
      </c>
      <c r="C1828" s="3" t="str">
        <f>"TFC000001194"</f>
        <v>TFC000001194</v>
      </c>
      <c r="D1828" s="3" t="str">
        <f>"F800-20-1338-(AR 3.0)"</f>
        <v>F800-20-1338-(AR 3.0)</v>
      </c>
      <c r="E1828" s="3" t="str">
        <f>"Zap! I'm a mind reader"</f>
        <v>Zap! I'm a mind reader</v>
      </c>
      <c r="F1828" s="3" t="str">
        <f>"by Dan Greenburg ; illustrated by Jack E. Davis"</f>
        <v>by Dan Greenburg ; illustrated by Jack E. Davis</v>
      </c>
      <c r="G1828" s="3" t="str">
        <f>"Grosset &amp; Dunlap"</f>
        <v>Grosset &amp; Dunlap</v>
      </c>
      <c r="H1828" s="2" t="str">
        <f>"2009"</f>
        <v>2009</v>
      </c>
      <c r="I1828" s="3" t="str">
        <f>""</f>
        <v/>
      </c>
    </row>
    <row r="1829" spans="1:9" x14ac:dyDescent="0.3">
      <c r="A1829" s="2">
        <v>1828</v>
      </c>
      <c r="B1829" s="4" t="s">
        <v>31</v>
      </c>
      <c r="C1829" s="3" t="str">
        <f>"TFC000001195"</f>
        <v>TFC000001195</v>
      </c>
      <c r="D1829" s="3" t="str">
        <f>"F800-20-1339-(AR 3.0)"</f>
        <v>F800-20-1339-(AR 3.0)</v>
      </c>
      <c r="E1829" s="3" t="str">
        <f>"Never Trust a cat Who Wears Earrings"</f>
        <v>Never Trust a cat Who Wears Earrings</v>
      </c>
      <c r="F1829" s="3" t="str">
        <f>"by Dan Greenburg, illustrated by Jack E. Davis"</f>
        <v>by Dan Greenburg, illustrated by Jack E. Davis</v>
      </c>
      <c r="G1829" s="3" t="str">
        <f>"Grosset &amp; Dunlap"</f>
        <v>Grosset &amp; Dunlap</v>
      </c>
      <c r="H1829" s="2" t="str">
        <f>"2007"</f>
        <v>2007</v>
      </c>
      <c r="I1829" s="3" t="str">
        <f>""</f>
        <v/>
      </c>
    </row>
    <row r="1830" spans="1:9" x14ac:dyDescent="0.3">
      <c r="A1830" s="2">
        <v>1829</v>
      </c>
      <c r="B1830" s="4" t="s">
        <v>31</v>
      </c>
      <c r="C1830" s="3" t="str">
        <f>"TFC000001196"</f>
        <v>TFC000001196</v>
      </c>
      <c r="D1830" s="3" t="str">
        <f>"F800-20-1340-(AR 3.0)"</f>
        <v>F800-20-1340-(AR 3.0)</v>
      </c>
      <c r="E1830" s="3" t="str">
        <f>"(A)Poor excuse for a dragon"</f>
        <v>(A)Poor excuse for a dragon</v>
      </c>
      <c r="F1830" s="3" t="str">
        <f>"by Geoffrey Hayes"</f>
        <v>by Geoffrey Hayes</v>
      </c>
      <c r="G1830" s="3" t="str">
        <f>"Random House"</f>
        <v>Random House</v>
      </c>
      <c r="H1830" s="2" t="str">
        <f>"2011"</f>
        <v>2011</v>
      </c>
      <c r="I1830" s="3" t="str">
        <f>""</f>
        <v/>
      </c>
    </row>
    <row r="1831" spans="1:9" x14ac:dyDescent="0.3">
      <c r="A1831" s="2">
        <v>1830</v>
      </c>
      <c r="B1831" s="4" t="s">
        <v>31</v>
      </c>
      <c r="C1831" s="3" t="str">
        <f>"TFC000001197"</f>
        <v>TFC000001197</v>
      </c>
      <c r="D1831" s="3" t="str">
        <f>"F800-20-1341-(AR 3.0)"</f>
        <v>F800-20-1341-(AR 3.0)</v>
      </c>
      <c r="E1831" s="3" t="str">
        <f>"Julius, the baby of the world"</f>
        <v>Julius, the baby of the world</v>
      </c>
      <c r="F1831" s="3" t="str">
        <f>"by Kevin Henkes"</f>
        <v>by Kevin Henkes</v>
      </c>
      <c r="G1831" s="3" t="str">
        <f>"Greenwillow Books"</f>
        <v>Greenwillow Books</v>
      </c>
      <c r="H1831" s="2" t="str">
        <f>"1990"</f>
        <v>1990</v>
      </c>
      <c r="I1831" s="3" t="str">
        <f>""</f>
        <v/>
      </c>
    </row>
    <row r="1832" spans="1:9" x14ac:dyDescent="0.3">
      <c r="A1832" s="2">
        <v>1831</v>
      </c>
      <c r="B1832" s="4" t="s">
        <v>31</v>
      </c>
      <c r="C1832" s="3" t="str">
        <f>"TFC000001198"</f>
        <v>TFC000001198</v>
      </c>
      <c r="D1832" s="3" t="str">
        <f>"F800-20-1342-(AR 3.0)"</f>
        <v>F800-20-1342-(AR 3.0)</v>
      </c>
      <c r="E1832" s="3" t="str">
        <f>"Arthur's birthday party"</f>
        <v>Arthur's birthday party</v>
      </c>
      <c r="F1832" s="3" t="str">
        <f>"story and pictures by Lillian Hoban"</f>
        <v>story and pictures by Lillian Hoban</v>
      </c>
      <c r="G1832" s="3" t="str">
        <f>"HarperTrophy"</f>
        <v>HarperTrophy</v>
      </c>
      <c r="H1832" s="2" t="str">
        <f>"2000"</f>
        <v>2000</v>
      </c>
      <c r="I1832" s="3" t="str">
        <f>""</f>
        <v/>
      </c>
    </row>
    <row r="1833" spans="1:9" x14ac:dyDescent="0.3">
      <c r="A1833" s="2">
        <v>1832</v>
      </c>
      <c r="B1833" s="4" t="s">
        <v>31</v>
      </c>
      <c r="C1833" s="3" t="str">
        <f>"TFC000001199"</f>
        <v>TFC000001199</v>
      </c>
      <c r="D1833" s="3" t="str">
        <f>"F800-20-1343-(AR 3.0)"</f>
        <v>F800-20-1343-(AR 3.0)</v>
      </c>
      <c r="E1833" s="3" t="str">
        <f>"Best friends for frances"</f>
        <v>Best friends for frances</v>
      </c>
      <c r="F1833" s="3" t="str">
        <f>"by Russell Hoban ; pictures by Lillian Hoban"</f>
        <v>by Russell Hoban ; pictures by Lillian Hoban</v>
      </c>
      <c r="G1833" s="3" t="str">
        <f>"HarperCollins Publihers"</f>
        <v>HarperCollins Publihers</v>
      </c>
      <c r="H1833" s="2" t="str">
        <f>"2009"</f>
        <v>2009</v>
      </c>
      <c r="I1833" s="3" t="str">
        <f>""</f>
        <v/>
      </c>
    </row>
    <row r="1834" spans="1:9" x14ac:dyDescent="0.3">
      <c r="A1834" s="2">
        <v>1833</v>
      </c>
      <c r="B1834" s="4" t="s">
        <v>31</v>
      </c>
      <c r="C1834" s="3" t="str">
        <f>"TFC000001200"</f>
        <v>TFC000001200</v>
      </c>
      <c r="D1834" s="3" t="str">
        <f>"F800-20-1344-(AR 3.0)"</f>
        <v>F800-20-1344-(AR 3.0)</v>
      </c>
      <c r="E1834" s="3" t="str">
        <f>"Harold and the Purple Crayon"</f>
        <v>Harold and the Purple Crayon</v>
      </c>
      <c r="F1834" s="3" t="str">
        <f>"by Crockett Johnson"</f>
        <v>by Crockett Johnson</v>
      </c>
      <c r="G1834" s="3" t="str">
        <f>"HarperCollinsPublishers"</f>
        <v>HarperCollinsPublishers</v>
      </c>
      <c r="H1834" s="2" t="str">
        <f>"2009"</f>
        <v>2009</v>
      </c>
      <c r="I1834" s="3" t="str">
        <f>""</f>
        <v/>
      </c>
    </row>
    <row r="1835" spans="1:9" x14ac:dyDescent="0.3">
      <c r="A1835" s="2">
        <v>1834</v>
      </c>
      <c r="B1835" s="4" t="s">
        <v>31</v>
      </c>
      <c r="C1835" s="3" t="str">
        <f>"TFC000001201"</f>
        <v>TFC000001201</v>
      </c>
      <c r="D1835" s="3" t="str">
        <f>"F800-20-1345-(AR 3.0)"</f>
        <v>F800-20-1345-(AR 3.0)</v>
      </c>
      <c r="E1835" s="3" t="str">
        <f>"(The)biggest valentine ever"</f>
        <v>(The)biggest valentine ever</v>
      </c>
      <c r="F1835" s="3" t="str">
        <f>"by Steven Kroll ; illustrated by Jeni Bassett"</f>
        <v>by Steven Kroll ; illustrated by Jeni Bassett</v>
      </c>
      <c r="G1835" s="3" t="str">
        <f>"Scholastic"</f>
        <v>Scholastic</v>
      </c>
      <c r="H1835" s="2" t="str">
        <f>"2006"</f>
        <v>2006</v>
      </c>
      <c r="I1835" s="3" t="str">
        <f>""</f>
        <v/>
      </c>
    </row>
    <row r="1836" spans="1:9" x14ac:dyDescent="0.3">
      <c r="A1836" s="2">
        <v>1835</v>
      </c>
      <c r="B1836" s="4" t="s">
        <v>31</v>
      </c>
      <c r="C1836" s="3" t="str">
        <f>"TFC000001202"</f>
        <v>TFC000001202</v>
      </c>
      <c r="D1836" s="3" t="str">
        <f>"F800-20-1346-(AR 3.0)"</f>
        <v>F800-20-1346-(AR 3.0)</v>
      </c>
      <c r="E1836" s="3" t="str">
        <f>"Mouse tales"</f>
        <v>Mouse tales</v>
      </c>
      <c r="F1836" s="3" t="str">
        <f>"by Arnold Lobel"</f>
        <v>by Arnold Lobel</v>
      </c>
      <c r="G1836" s="3" t="str">
        <f>"HarperCollins Publishers"</f>
        <v>HarperCollins Publishers</v>
      </c>
      <c r="H1836" s="2" t="str">
        <f>"1972"</f>
        <v>1972</v>
      </c>
      <c r="I1836" s="3" t="str">
        <f>""</f>
        <v/>
      </c>
    </row>
    <row r="1837" spans="1:9" x14ac:dyDescent="0.3">
      <c r="A1837" s="2">
        <v>1836</v>
      </c>
      <c r="B1837" s="4" t="s">
        <v>31</v>
      </c>
      <c r="C1837" s="3" t="str">
        <f>"TFC000001203"</f>
        <v>TFC000001203</v>
      </c>
      <c r="D1837" s="3" t="str">
        <f>"F800-20-1347-(AR 3.0)"</f>
        <v>F800-20-1347-(AR 3.0)</v>
      </c>
      <c r="E1837" s="3" t="str">
        <f>"(The)drinking gourd : a story of the underground railroad"</f>
        <v>(The)drinking gourd : a story of the underground railroad</v>
      </c>
      <c r="F1837" s="3" t="str">
        <f>"by F. N. Monjo ; pictures by Fred Brenner"</f>
        <v>by F. N. Monjo ; pictures by Fred Brenner</v>
      </c>
      <c r="G1837" s="3" t="str">
        <f>"HarperTrophy"</f>
        <v>HarperTrophy</v>
      </c>
      <c r="H1837" s="2" t="str">
        <f>"1993"</f>
        <v>1993</v>
      </c>
      <c r="I1837" s="3" t="str">
        <f>""</f>
        <v/>
      </c>
    </row>
    <row r="1838" spans="1:9" x14ac:dyDescent="0.3">
      <c r="A1838" s="2">
        <v>1837</v>
      </c>
      <c r="B1838" s="4" t="s">
        <v>31</v>
      </c>
      <c r="C1838" s="3" t="str">
        <f>"TFC000001204"</f>
        <v>TFC000001204</v>
      </c>
      <c r="D1838" s="3" t="str">
        <f>"F800-20-1348-(AR 3.0)"</f>
        <v>F800-20-1348-(AR 3.0)</v>
      </c>
      <c r="E1838" s="3" t="str">
        <f>"Pretzel"</f>
        <v>Pretzel</v>
      </c>
      <c r="F1838" s="3" t="str">
        <f>"Margret Rey ; with picture by H.A. Rey"</f>
        <v>Margret Rey ; with picture by H.A. Rey</v>
      </c>
      <c r="G1838" s="3" t="str">
        <f>"Houghton Mifflin"</f>
        <v>Houghton Mifflin</v>
      </c>
      <c r="H1838" s="2" t="str">
        <f>"1997"</f>
        <v>1997</v>
      </c>
      <c r="I1838" s="3" t="str">
        <f>""</f>
        <v/>
      </c>
    </row>
    <row r="1839" spans="1:9" x14ac:dyDescent="0.3">
      <c r="A1839" s="2">
        <v>1838</v>
      </c>
      <c r="B1839" s="4" t="s">
        <v>31</v>
      </c>
      <c r="C1839" s="3" t="str">
        <f>"TFC000001205"</f>
        <v>TFC000001205</v>
      </c>
      <c r="D1839" s="3" t="str">
        <f>"F800-20-1349-(AR 3.0)"</f>
        <v>F800-20-1349-(AR 3.0)</v>
      </c>
      <c r="E1839" s="3" t="str">
        <f>"Nate the great and the snowy trail"</f>
        <v>Nate the great and the snowy trail</v>
      </c>
      <c r="F1839" s="3" t="str">
        <f>"by Marjorie Weinman Sharmat ; illustrated by Marc Simont"</f>
        <v>by Marjorie Weinman Sharmat ; illustrated by Marc Simont</v>
      </c>
      <c r="G1839" s="3" t="str">
        <f>"Yearling Book"</f>
        <v>Yearling Book</v>
      </c>
      <c r="H1839" s="2" t="str">
        <f>"2005"</f>
        <v>2005</v>
      </c>
      <c r="I1839" s="3" t="str">
        <f>""</f>
        <v/>
      </c>
    </row>
    <row r="1840" spans="1:9" x14ac:dyDescent="0.3">
      <c r="A1840" s="2">
        <v>1839</v>
      </c>
      <c r="B1840" s="4" t="s">
        <v>31</v>
      </c>
      <c r="C1840" s="3" t="str">
        <f>"TFC000001206"</f>
        <v>TFC000001206</v>
      </c>
      <c r="D1840" s="3" t="str">
        <f>"F800-20-1350-(AR 3.0)"</f>
        <v>F800-20-1350-(AR 3.0)</v>
      </c>
      <c r="E1840" s="3" t="str">
        <f>"Nate the great and the mushy valentine"</f>
        <v>Nate the great and the mushy valentine</v>
      </c>
      <c r="F1840" s="3" t="str">
        <f>"by Marjorie Weinman Sharmat ; illustrated by Marc Simont"</f>
        <v>by Marjorie Weinman Sharmat ; illustrated by Marc Simont</v>
      </c>
      <c r="G1840" s="3" t="str">
        <f>"Yearling Book"</f>
        <v>Yearling Book</v>
      </c>
      <c r="H1840" s="2" t="str">
        <f>"2004"</f>
        <v>2004</v>
      </c>
      <c r="I1840" s="3" t="str">
        <f>""</f>
        <v/>
      </c>
    </row>
    <row r="1841" spans="1:9" x14ac:dyDescent="0.3">
      <c r="A1841" s="2">
        <v>1840</v>
      </c>
      <c r="B1841" s="4" t="s">
        <v>31</v>
      </c>
      <c r="C1841" s="3" t="str">
        <f>"TFC000001207"</f>
        <v>TFC000001207</v>
      </c>
      <c r="D1841" s="3" t="str">
        <f>"F800-20-1351-(AR 3.0)"</f>
        <v>F800-20-1351-(AR 3.0)</v>
      </c>
      <c r="E1841" s="3" t="str">
        <f>"Who's afraid of the big, bad bully?"</f>
        <v>Who's afraid of the big, bad bully?</v>
      </c>
      <c r="F1841" s="3" t="str">
        <f>"by Teddy Slater ; illustrated by Pat Porter"</f>
        <v>by Teddy Slater ; illustrated by Pat Porter</v>
      </c>
      <c r="G1841" s="3" t="str">
        <f>"Scholastic"</f>
        <v>Scholastic</v>
      </c>
      <c r="H1841" s="2" t="str">
        <f>"1995"</f>
        <v>1995</v>
      </c>
      <c r="I1841" s="3" t="str">
        <f>""</f>
        <v/>
      </c>
    </row>
    <row r="1842" spans="1:9" x14ac:dyDescent="0.3">
      <c r="A1842" s="2">
        <v>1841</v>
      </c>
      <c r="B1842" s="4" t="s">
        <v>31</v>
      </c>
      <c r="C1842" s="3" t="str">
        <f>"TFC000001208"</f>
        <v>TFC000001208</v>
      </c>
      <c r="D1842" s="3" t="str">
        <f>"F800-20-1352-(AR 3.0)"</f>
        <v>F800-20-1352-(AR 3.0)</v>
      </c>
      <c r="E1842" s="3" t="str">
        <f>"(The)true story of the 3 little pigs"</f>
        <v>(The)true story of the 3 little pigs</v>
      </c>
      <c r="F1842" s="3" t="str">
        <f>"by A. Wolf, Jon Scieszka ; illustrated by Lane Smith"</f>
        <v>by A. Wolf, Jon Scieszka ; illustrated by Lane Smith</v>
      </c>
      <c r="G1842" s="3" t="str">
        <f>"Puffin Books"</f>
        <v>Puffin Books</v>
      </c>
      <c r="H1842" s="2" t="str">
        <f>"1996"</f>
        <v>1996</v>
      </c>
      <c r="I1842" s="3" t="str">
        <f>""</f>
        <v/>
      </c>
    </row>
    <row r="1843" spans="1:9" x14ac:dyDescent="0.3">
      <c r="A1843" s="2">
        <v>1842</v>
      </c>
      <c r="B1843" s="4" t="s">
        <v>31</v>
      </c>
      <c r="C1843" s="3" t="str">
        <f>"TFC000001209"</f>
        <v>TFC000001209</v>
      </c>
      <c r="D1843" s="3" t="str">
        <f>"F800-20-1353-(AR 3.0)"</f>
        <v>F800-20-1353-(AR 3.0)</v>
      </c>
      <c r="E1843" s="3" t="str">
        <f>"Dinosaur hunter"</f>
        <v>Dinosaur hunter</v>
      </c>
      <c r="F1843" s="3" t="str">
        <f>"story by Elaine Marie Alphin ; pictures by Don Bolognese"</f>
        <v>story by Elaine Marie Alphin ; pictures by Don Bolognese</v>
      </c>
      <c r="G1843" s="3" t="str">
        <f>"HarperCollins Publishers"</f>
        <v>HarperCollins Publishers</v>
      </c>
      <c r="H1843" s="2" t="str">
        <f>"2003"</f>
        <v>2003</v>
      </c>
      <c r="I1843" s="3" t="str">
        <f>""</f>
        <v/>
      </c>
    </row>
    <row r="1844" spans="1:9" x14ac:dyDescent="0.3">
      <c r="A1844" s="2">
        <v>1843</v>
      </c>
      <c r="B1844" s="4" t="s">
        <v>31</v>
      </c>
      <c r="C1844" s="3" t="str">
        <f>"TFC000001210"</f>
        <v>TFC000001210</v>
      </c>
      <c r="D1844" s="3" t="str">
        <f>"F800-20-1354-(AR 3.0)"</f>
        <v>F800-20-1354-(AR 3.0)</v>
      </c>
      <c r="E1844" s="3" t="str">
        <f>"Going, going gone! with the pain &amp; the great one"</f>
        <v>Going, going gone! with the pain &amp; the great one</v>
      </c>
      <c r="F1844" s="3" t="str">
        <f>"by Judy Blume, illustrations by James Stevenson"</f>
        <v>by Judy Blume, illustrations by James Stevenson</v>
      </c>
      <c r="G1844" s="3" t="str">
        <f>"Yearling Books"</f>
        <v>Yearling Books</v>
      </c>
      <c r="H1844" s="2" t="str">
        <f>"2009"</f>
        <v>2009</v>
      </c>
      <c r="I1844" s="3" t="str">
        <f>""</f>
        <v/>
      </c>
    </row>
    <row r="1845" spans="1:9" x14ac:dyDescent="0.3">
      <c r="A1845" s="2">
        <v>1844</v>
      </c>
      <c r="B1845" s="4" t="s">
        <v>31</v>
      </c>
      <c r="C1845" s="3" t="str">
        <f>"TFC000001211"</f>
        <v>TFC000001211</v>
      </c>
      <c r="D1845" s="3" t="str">
        <f>"F800-20-1355-(AR 3.0)"</f>
        <v>F800-20-1355-(AR 3.0)</v>
      </c>
      <c r="E1845" s="3" t="str">
        <f>"(The)Koala who could"</f>
        <v>(The)Koala who could</v>
      </c>
      <c r="F1845" s="3" t="str">
        <f>"Rachel Bright ;  Jim Field."</f>
        <v>Rachel Bright ;  Jim Field.</v>
      </c>
      <c r="G1845" s="3" t="str">
        <f>"Scholastic Press"</f>
        <v>Scholastic Press</v>
      </c>
      <c r="H1845" s="2" t="str">
        <f>"2017"</f>
        <v>2017</v>
      </c>
      <c r="I1845" s="3" t="str">
        <f>""</f>
        <v/>
      </c>
    </row>
    <row r="1846" spans="1:9" x14ac:dyDescent="0.3">
      <c r="A1846" s="2">
        <v>1845</v>
      </c>
      <c r="B1846" s="4" t="s">
        <v>31</v>
      </c>
      <c r="C1846" s="3" t="str">
        <f>"TFC000001212"</f>
        <v>TFC000001212</v>
      </c>
      <c r="D1846" s="3" t="str">
        <f>"F800-20-1356-(AR 3.0)"</f>
        <v>F800-20-1356-(AR 3.0)</v>
      </c>
      <c r="E1846" s="3" t="str">
        <f>"(The)buddy bench"</f>
        <v>(The)buddy bench</v>
      </c>
      <c r="F1846" s="3" t="str">
        <f>"written by Patty Brozo ; illustrated by Mike Deas"</f>
        <v>written by Patty Brozo ; illustrated by Mike Deas</v>
      </c>
      <c r="G1846" s="3" t="str">
        <f>"Tilbury House Publishers"</f>
        <v>Tilbury House Publishers</v>
      </c>
      <c r="H1846" s="2" t="str">
        <f>"2019"</f>
        <v>2019</v>
      </c>
      <c r="I1846" s="3" t="str">
        <f>""</f>
        <v/>
      </c>
    </row>
    <row r="1847" spans="1:9" x14ac:dyDescent="0.3">
      <c r="A1847" s="2">
        <v>1846</v>
      </c>
      <c r="B1847" s="4" t="s">
        <v>31</v>
      </c>
      <c r="C1847" s="3" t="str">
        <f>"TFC000001213"</f>
        <v>TFC000001213</v>
      </c>
      <c r="D1847" s="3" t="str">
        <f>"F800-20-1357-(AR 3.0)"</f>
        <v>F800-20-1357-(AR 3.0)</v>
      </c>
      <c r="E1847" s="3" t="str">
        <f>"Snowmen at night"</f>
        <v>Snowmen at night</v>
      </c>
      <c r="F1847" s="3" t="str">
        <f>"Caralyn Buehner ; pictures by Mark Buehner"</f>
        <v>Caralyn Buehner ; pictures by Mark Buehner</v>
      </c>
      <c r="G1847" s="3" t="str">
        <f>"Dial Books for Young Readers"</f>
        <v>Dial Books for Young Readers</v>
      </c>
      <c r="H1847" s="2" t="str">
        <f>"2002"</f>
        <v>2002</v>
      </c>
      <c r="I1847" s="3" t="str">
        <f>""</f>
        <v/>
      </c>
    </row>
    <row r="1848" spans="1:9" x14ac:dyDescent="0.3">
      <c r="A1848" s="2">
        <v>1847</v>
      </c>
      <c r="B1848" s="4" t="s">
        <v>31</v>
      </c>
      <c r="C1848" s="3" t="str">
        <f>"TFC000001215"</f>
        <v>TFC000001215</v>
      </c>
      <c r="D1848" s="3" t="str">
        <f>"F800-20-1359-(AR 3.0)"</f>
        <v>F800-20-1359-(AR 3.0)</v>
      </c>
      <c r="E1848" s="3" t="str">
        <f>"Get ready for second grade, Amber Brown"</f>
        <v>Get ready for second grade, Amber Brown</v>
      </c>
      <c r="F1848" s="3" t="str">
        <f>"by Paula Danziger ; illustrated by Tony Ross"</f>
        <v>by Paula Danziger ; illustrated by Tony Ross</v>
      </c>
      <c r="G1848" s="3" t="str">
        <f>"Penguin young readers"</f>
        <v>Penguin young readers</v>
      </c>
      <c r="H1848" s="2" t="str">
        <f>"2012"</f>
        <v>2012</v>
      </c>
      <c r="I1848" s="3" t="str">
        <f>""</f>
        <v/>
      </c>
    </row>
    <row r="1849" spans="1:9" x14ac:dyDescent="0.3">
      <c r="A1849" s="2">
        <v>1848</v>
      </c>
      <c r="B1849" s="4" t="s">
        <v>31</v>
      </c>
      <c r="C1849" s="3" t="str">
        <f>"TFC000001216"</f>
        <v>TFC000001216</v>
      </c>
      <c r="D1849" s="3" t="str">
        <f>"F800-20-1360-(AR 3.0)"</f>
        <v>F800-20-1360-(AR 3.0)</v>
      </c>
      <c r="E1849" s="3" t="str">
        <f>"(The)clumsy crocodile"</f>
        <v>(The)clumsy crocodile</v>
      </c>
      <c r="F1849" s="3" t="str">
        <f>"Felicity Everett ; adapted by Rebecca Treays ; illustrated by Alex de Wolf"</f>
        <v>Felicity Everett ; adapted by Rebecca Treays ; illustrated by Alex de Wolf</v>
      </c>
      <c r="G1849" s="3" t="str">
        <f>"Usborne"</f>
        <v>Usborne</v>
      </c>
      <c r="H1849" s="2" t="str">
        <f>"2007"</f>
        <v>2007</v>
      </c>
      <c r="I1849" s="3" t="str">
        <f>""</f>
        <v/>
      </c>
    </row>
    <row r="1850" spans="1:9" x14ac:dyDescent="0.3">
      <c r="A1850" s="2">
        <v>1849</v>
      </c>
      <c r="B1850" s="4" t="s">
        <v>31</v>
      </c>
      <c r="C1850" s="3" t="str">
        <f>"TFC000001217"</f>
        <v>TFC000001217</v>
      </c>
      <c r="D1850" s="3" t="str">
        <f>"F800-20-1361-(AR 3.0)"</f>
        <v>F800-20-1361-(AR 3.0)</v>
      </c>
      <c r="E1850" s="3" t="str">
        <f>"(The)fairground ghost"</f>
        <v>(The)fairground ghost</v>
      </c>
      <c r="F1850" s="3" t="str">
        <f>"Felicity Everett ; adapted by Lesley Sims ; illustrated by Alex de Wolf"</f>
        <v>Felicity Everett ; adapted by Lesley Sims ; illustrated by Alex de Wolf</v>
      </c>
      <c r="G1850" s="3" t="str">
        <f>"Usborne"</f>
        <v>Usborne</v>
      </c>
      <c r="H1850" s="2" t="str">
        <f>"2007"</f>
        <v>2007</v>
      </c>
      <c r="I1850" s="3" t="str">
        <f>""</f>
        <v/>
      </c>
    </row>
    <row r="1851" spans="1:9" x14ac:dyDescent="0.3">
      <c r="A1851" s="2">
        <v>1850</v>
      </c>
      <c r="B1851" s="4" t="s">
        <v>31</v>
      </c>
      <c r="C1851" s="3" t="str">
        <f>"TFC000001218"</f>
        <v>TFC000001218</v>
      </c>
      <c r="D1851" s="3" t="str">
        <f>"F800-20-1362-(AR 3.0)"</f>
        <v>F800-20-1362-(AR 3.0)</v>
      </c>
      <c r="E1851" s="3" t="str">
        <f>"(Disney)Dumbo"</f>
        <v>(Disney)Dumbo</v>
      </c>
      <c r="F1851" s="3" t="str">
        <f>"written by Calliope Glass ; illustrated by Dominic Carola, Ryan Feltman"</f>
        <v>written by Calliope Glass ; illustrated by Dominic Carola, Ryan Feltman</v>
      </c>
      <c r="G1851" s="3" t="str">
        <f>"Disney Press"</f>
        <v>Disney Press</v>
      </c>
      <c r="H1851" s="2" t="str">
        <f>"2019"</f>
        <v>2019</v>
      </c>
      <c r="I1851" s="3" t="str">
        <f>""</f>
        <v/>
      </c>
    </row>
    <row r="1852" spans="1:9" x14ac:dyDescent="0.3">
      <c r="A1852" s="2">
        <v>1851</v>
      </c>
      <c r="B1852" s="4" t="s">
        <v>31</v>
      </c>
      <c r="C1852" s="3" t="str">
        <f>"TFC000001219"</f>
        <v>TFC000001219</v>
      </c>
      <c r="D1852" s="3" t="str">
        <f>"F800-20-1363-(AR 3.0)"</f>
        <v>F800-20-1363-(AR 3.0)</v>
      </c>
      <c r="E1852" s="3" t="str">
        <f>"(The)princess in black and the perfect princess party"</f>
        <v>(The)princess in black and the perfect princess party</v>
      </c>
      <c r="F1852" s="3" t="str">
        <f>"Shannon Hale, Dean Hale ; illustrated by LeUyen Pham"</f>
        <v>Shannon Hale, Dean Hale ; illustrated by LeUyen Pham</v>
      </c>
      <c r="G1852" s="3" t="str">
        <f>"Candlewick Press"</f>
        <v>Candlewick Press</v>
      </c>
      <c r="H1852" s="2" t="str">
        <f>"2015"</f>
        <v>2015</v>
      </c>
      <c r="I1852" s="3" t="str">
        <f>""</f>
        <v/>
      </c>
    </row>
    <row r="1853" spans="1:9" x14ac:dyDescent="0.3">
      <c r="A1853" s="2">
        <v>1852</v>
      </c>
      <c r="B1853" s="4" t="s">
        <v>31</v>
      </c>
      <c r="C1853" s="3" t="str">
        <f>"TFC000001220"</f>
        <v>TFC000001220</v>
      </c>
      <c r="D1853" s="3" t="str">
        <f>"F800-20-1364-(AR 3.0)"</f>
        <v>F800-20-1364-(AR 3.0)</v>
      </c>
      <c r="E1853" s="3" t="str">
        <f>"(The)princess in black takes a vacation"</f>
        <v>(The)princess in black takes a vacation</v>
      </c>
      <c r="F1853" s="3" t="str">
        <f>"Shannon Hale, Dean Hale ; illustrated by LeUyen Pham"</f>
        <v>Shannon Hale, Dean Hale ; illustrated by LeUyen Pham</v>
      </c>
      <c r="G1853" s="3" t="str">
        <f>"Candlewick Press"</f>
        <v>Candlewick Press</v>
      </c>
      <c r="H1853" s="2" t="str">
        <f>"2016"</f>
        <v>2016</v>
      </c>
      <c r="I1853" s="3" t="str">
        <f>""</f>
        <v/>
      </c>
    </row>
    <row r="1854" spans="1:9" x14ac:dyDescent="0.3">
      <c r="A1854" s="2">
        <v>1853</v>
      </c>
      <c r="B1854" s="4" t="s">
        <v>31</v>
      </c>
      <c r="C1854" s="3" t="str">
        <f>"TFC000001221"</f>
        <v>TFC000001221</v>
      </c>
      <c r="D1854" s="3" t="str">
        <f>"F800-20-1365-(AR 3.0)"</f>
        <v>F800-20-1365-(AR 3.0)</v>
      </c>
      <c r="E1854" s="3" t="str">
        <f>"Head in the clouds"</f>
        <v>Head in the clouds</v>
      </c>
      <c r="F1854" s="3" t="str">
        <f>"Abby Hanlon"</f>
        <v>Abby Hanlon</v>
      </c>
      <c r="G1854" s="3" t="str">
        <f>"Dial Books for Young Readers"</f>
        <v>Dial Books for Young Readers</v>
      </c>
      <c r="H1854" s="2" t="str">
        <f>"2018"</f>
        <v>2018</v>
      </c>
      <c r="I1854" s="3" t="str">
        <f>""</f>
        <v/>
      </c>
    </row>
    <row r="1855" spans="1:9" x14ac:dyDescent="0.3">
      <c r="A1855" s="2">
        <v>1854</v>
      </c>
      <c r="B1855" s="4" t="s">
        <v>31</v>
      </c>
      <c r="C1855" s="3" t="str">
        <f>"TFC000001222"</f>
        <v>TFC000001222</v>
      </c>
      <c r="D1855" s="3" t="str">
        <f>"F800-20-1366-(AR 3.0)"</f>
        <v>F800-20-1366-(AR 3.0)</v>
      </c>
      <c r="E1855" s="3" t="str">
        <f>"(The)best teacher in second grade"</f>
        <v>(The)best teacher in second grade</v>
      </c>
      <c r="F1855" s="3" t="str">
        <f>"by Katharine Kenah ; pictures by Abby Carter"</f>
        <v>by Katharine Kenah ; pictures by Abby Carter</v>
      </c>
      <c r="G1855" s="3" t="str">
        <f>"HarperCollins Publihers"</f>
        <v>HarperCollins Publihers</v>
      </c>
      <c r="H1855" s="2" t="str">
        <f>"2006"</f>
        <v>2006</v>
      </c>
      <c r="I1855" s="3" t="str">
        <f>""</f>
        <v/>
      </c>
    </row>
    <row r="1856" spans="1:9" x14ac:dyDescent="0.3">
      <c r="A1856" s="2">
        <v>1855</v>
      </c>
      <c r="B1856" s="4" t="s">
        <v>31</v>
      </c>
      <c r="C1856" s="3" t="str">
        <f>"TFC000001223"</f>
        <v>TFC000001223</v>
      </c>
      <c r="D1856" s="3" t="str">
        <f>"F800-20-1367-(AR 3.0)"</f>
        <v>F800-20-1367-(AR 3.0)</v>
      </c>
      <c r="E1856" s="3" t="str">
        <f>"Scaredy squirrel makes a friend"</f>
        <v>Scaredy squirrel makes a friend</v>
      </c>
      <c r="F1856" s="3" t="str">
        <f>"by Me?lanie Watt"</f>
        <v>by Me?lanie Watt</v>
      </c>
      <c r="G1856" s="3" t="str">
        <f>"Kids Can Press"</f>
        <v>Kids Can Press</v>
      </c>
      <c r="H1856" s="2" t="str">
        <f>"2017"</f>
        <v>2017</v>
      </c>
      <c r="I1856" s="3" t="str">
        <f>""</f>
        <v/>
      </c>
    </row>
    <row r="1857" spans="1:9" x14ac:dyDescent="0.3">
      <c r="A1857" s="2">
        <v>1856</v>
      </c>
      <c r="B1857" s="4" t="s">
        <v>31</v>
      </c>
      <c r="C1857" s="3" t="str">
        <f>"TFC000001224"</f>
        <v>TFC000001224</v>
      </c>
      <c r="D1857" s="3" t="str">
        <f>"F800-20-1368-(AR 3.0)"</f>
        <v>F800-20-1368-(AR 3.0)</v>
      </c>
      <c r="E1857" s="3" t="str">
        <f>"(A)very crazy Christmas"</f>
        <v>(A)very crazy Christmas</v>
      </c>
      <c r="F1857" s="3" t="str">
        <f>"by Abby Klein ; illustrated by John McKinley"</f>
        <v>by Abby Klein ; illustrated by John McKinley</v>
      </c>
      <c r="G1857" s="3" t="str">
        <f>"Scholastic"</f>
        <v>Scholastic</v>
      </c>
      <c r="H1857" s="2" t="str">
        <f>"2011"</f>
        <v>2011</v>
      </c>
      <c r="I1857" s="3" t="str">
        <f>""</f>
        <v/>
      </c>
    </row>
    <row r="1858" spans="1:9" x14ac:dyDescent="0.3">
      <c r="A1858" s="2">
        <v>1857</v>
      </c>
      <c r="B1858" s="4" t="s">
        <v>31</v>
      </c>
      <c r="C1858" s="3" t="str">
        <f>"TFC000001225"</f>
        <v>TFC000001225</v>
      </c>
      <c r="D1858" s="3" t="str">
        <f>"F800-20-1369-(AR 3.0)"</f>
        <v>F800-20-1369-(AR 3.0)</v>
      </c>
      <c r="E1858" s="3" t="str">
        <f>"Dragon night"</f>
        <v>Dragon night</v>
      </c>
      <c r="F1858" s="3" t="str">
        <f>"J. R. Krause"</f>
        <v>J. R. Krause</v>
      </c>
      <c r="G1858" s="3" t="str">
        <f>"G. P. Putnam's Sons"</f>
        <v>G. P. Putnam's Sons</v>
      </c>
      <c r="H1858" s="2" t="str">
        <f>"2019"</f>
        <v>2019</v>
      </c>
      <c r="I1858" s="3" t="str">
        <f>""</f>
        <v/>
      </c>
    </row>
    <row r="1859" spans="1:9" x14ac:dyDescent="0.3">
      <c r="A1859" s="2">
        <v>1858</v>
      </c>
      <c r="B1859" s="4" t="s">
        <v>31</v>
      </c>
      <c r="C1859" s="3" t="str">
        <f>"TFC000001226"</f>
        <v>TFC000001226</v>
      </c>
      <c r="D1859" s="3" t="str">
        <f>"F800-20-1370-(AR 3.0)"</f>
        <v>F800-20-1370-(AR 3.0)</v>
      </c>
      <c r="E1859" s="3" t="str">
        <f>"In the small, small night"</f>
        <v>In the small, small night</v>
      </c>
      <c r="F1859" s="3" t="str">
        <f>"by Jane Kurtz ; pictures by Rachel Isadora"</f>
        <v>by Jane Kurtz ; pictures by Rachel Isadora</v>
      </c>
      <c r="G1859" s="3" t="str">
        <f>"Greenwillow Books"</f>
        <v>Greenwillow Books</v>
      </c>
      <c r="H1859" s="2" t="str">
        <f>"2005"</f>
        <v>2005</v>
      </c>
      <c r="I1859" s="3" t="str">
        <f>""</f>
        <v/>
      </c>
    </row>
    <row r="1860" spans="1:9" x14ac:dyDescent="0.3">
      <c r="A1860" s="2">
        <v>1859</v>
      </c>
      <c r="B1860" s="4" t="s">
        <v>31</v>
      </c>
      <c r="C1860" s="3" t="str">
        <f>"TFC000001227"</f>
        <v>TFC000001227</v>
      </c>
      <c r="D1860" s="3" t="str">
        <f>"F800-20-1371-(AR 3.0)"</f>
        <v>F800-20-1371-(AR 3.0)</v>
      </c>
      <c r="E1860" s="3" t="str">
        <f>"Zombies don't eat veggies!"</f>
        <v>Zombies don't eat veggies!</v>
      </c>
      <c r="F1860" s="3" t="str">
        <f>"by Megan Lacera, Jorge Lacera"</f>
        <v>by Megan Lacera, Jorge Lacera</v>
      </c>
      <c r="G1860" s="3" t="str">
        <f>"Children's Book Press"</f>
        <v>Children's Book Press</v>
      </c>
      <c r="H1860" s="2" t="str">
        <f>"2019"</f>
        <v>2019</v>
      </c>
      <c r="I1860" s="3" t="str">
        <f>""</f>
        <v/>
      </c>
    </row>
    <row r="1861" spans="1:9" x14ac:dyDescent="0.3">
      <c r="A1861" s="2">
        <v>1860</v>
      </c>
      <c r="B1861" s="4" t="s">
        <v>31</v>
      </c>
      <c r="C1861" s="3" t="str">
        <f>"TFC000001228"</f>
        <v>TFC000001228</v>
      </c>
      <c r="D1861" s="3" t="str">
        <f>"F800-20-1372-(AR 3.0)"</f>
        <v>F800-20-1372-(AR 3.0)</v>
      </c>
      <c r="E1861" s="3" t="str">
        <f>"Captain and Matey set sail"</f>
        <v>Captain and Matey set sail</v>
      </c>
      <c r="F1861" s="3" t="str">
        <f>"story by Daniel Laurence ; pictures by Claudio Munoz"</f>
        <v>story by Daniel Laurence ; pictures by Claudio Munoz</v>
      </c>
      <c r="G1861" s="3" t="str">
        <f>"HarperTrophy"</f>
        <v>HarperTrophy</v>
      </c>
      <c r="H1861" s="2" t="str">
        <f>"2001"</f>
        <v>2001</v>
      </c>
      <c r="I1861" s="3" t="str">
        <f>""</f>
        <v/>
      </c>
    </row>
    <row r="1862" spans="1:9" x14ac:dyDescent="0.3">
      <c r="A1862" s="2">
        <v>1861</v>
      </c>
      <c r="B1862" s="4" t="s">
        <v>31</v>
      </c>
      <c r="C1862" s="3" t="str">
        <f>"TFC000001230"</f>
        <v>TFC000001230</v>
      </c>
      <c r="D1862" s="3" t="str">
        <f>"F800-20-1374-(AR 3.0)"</f>
        <v>F800-20-1374-(AR 3.0)</v>
      </c>
      <c r="E1862" s="3" t="str">
        <f>"Trust me, Hansel and Gretel are sweet! : the story of Hansel and Gretel as told by the witch"</f>
        <v>Trust me, Hansel and Gretel are sweet! : the story of Hansel and Gretel as told by the witch</v>
      </c>
      <c r="F1862" s="3" t="str">
        <f>"by Nancy Loewen ; illustrated by Janna Bock"</f>
        <v>by Nancy Loewen ; illustrated by Janna Bock</v>
      </c>
      <c r="G1862" s="3" t="str">
        <f>"Picture Window Books"</f>
        <v>Picture Window Books</v>
      </c>
      <c r="H1862" s="2" t="str">
        <f>"2016"</f>
        <v>2016</v>
      </c>
      <c r="I1862" s="3" t="str">
        <f>""</f>
        <v/>
      </c>
    </row>
    <row r="1863" spans="1:9" x14ac:dyDescent="0.3">
      <c r="A1863" s="2">
        <v>1862</v>
      </c>
      <c r="B1863" s="4" t="s">
        <v>31</v>
      </c>
      <c r="C1863" s="3" t="str">
        <f>"TFC000001231"</f>
        <v>TFC000001231</v>
      </c>
      <c r="D1863" s="3" t="str">
        <f>"F800-20-1375-(AR 3.0)"</f>
        <v>F800-20-1375-(AR 3.0)</v>
      </c>
      <c r="E1863" s="3" t="str">
        <f>"Marigold bakes a cake"</f>
        <v>Marigold bakes a cake</v>
      </c>
      <c r="F1863" s="3" t="str">
        <f>"by Mike Malbrough"</f>
        <v>by Mike Malbrough</v>
      </c>
      <c r="G1863" s="3" t="str">
        <f>"Philomel Books"</f>
        <v>Philomel Books</v>
      </c>
      <c r="H1863" s="2" t="str">
        <f>"2017"</f>
        <v>2017</v>
      </c>
      <c r="I1863" s="3" t="str">
        <f>""</f>
        <v/>
      </c>
    </row>
    <row r="1864" spans="1:9" x14ac:dyDescent="0.3">
      <c r="A1864" s="2">
        <v>1863</v>
      </c>
      <c r="B1864" s="4" t="s">
        <v>31</v>
      </c>
      <c r="C1864" s="3" t="str">
        <f>"TFC000001232"</f>
        <v>TFC000001232</v>
      </c>
      <c r="D1864" s="3" t="str">
        <f>"F800-20-1376-(AR 3.0)"</f>
        <v>F800-20-1376-(AR 3.0)</v>
      </c>
      <c r="E1864" s="3" t="str">
        <f>"Good night, wind"</f>
        <v>Good night, wind</v>
      </c>
      <c r="F1864" s="3" t="str">
        <f>"by Linda Elovitz Marshall ; illustrated by Maelle Doliveux"</f>
        <v>by Linda Elovitz Marshall ; illustrated by Maelle Doliveux</v>
      </c>
      <c r="G1864" s="3" t="str">
        <f>"Holiday House"</f>
        <v>Holiday House</v>
      </c>
      <c r="H1864" s="2" t="str">
        <f>"2019"</f>
        <v>2019</v>
      </c>
      <c r="I1864" s="3" t="str">
        <f>""</f>
        <v/>
      </c>
    </row>
    <row r="1865" spans="1:9" x14ac:dyDescent="0.3">
      <c r="A1865" s="2">
        <v>1864</v>
      </c>
      <c r="B1865" s="4" t="s">
        <v>31</v>
      </c>
      <c r="C1865" s="3" t="str">
        <f>"TFC000001233"</f>
        <v>TFC000001233</v>
      </c>
      <c r="D1865" s="3" t="str">
        <f>"F800-20-1377-(AR 3.0)"</f>
        <v>F800-20-1377-(AR 3.0)</v>
      </c>
      <c r="E1865" s="3" t="str">
        <f>"Mrs. Moody in the birthday jinx"</f>
        <v>Mrs. Moody in the birthday jinx</v>
      </c>
      <c r="F1865" s="3" t="str">
        <f>"Megan McDonald ; illustrated by Erwin Madrid ; based on the characters created by Peter H. Reynolds"</f>
        <v>Megan McDonald ; illustrated by Erwin Madrid ; based on the characters created by Peter H. Reynolds</v>
      </c>
      <c r="G1865" s="3" t="str">
        <f>"Candlewick Press"</f>
        <v>Candlewick Press</v>
      </c>
      <c r="H1865" s="2" t="str">
        <f>"2016"</f>
        <v>2016</v>
      </c>
      <c r="I1865" s="3" t="str">
        <f>""</f>
        <v/>
      </c>
    </row>
    <row r="1866" spans="1:9" x14ac:dyDescent="0.3">
      <c r="A1866" s="2">
        <v>1865</v>
      </c>
      <c r="B1866" s="4" t="s">
        <v>31</v>
      </c>
      <c r="C1866" s="3" t="str">
        <f>"TFC000001234"</f>
        <v>TFC000001234</v>
      </c>
      <c r="D1866" s="3" t="str">
        <f>"F800-20-1378-(AR 3.0)"</f>
        <v>F800-20-1378-(AR 3.0)</v>
      </c>
      <c r="E1866" s="3" t="str">
        <f>"Sunset of the sabertooth"</f>
        <v>Sunset of the sabertooth</v>
      </c>
      <c r="F1866" s="3" t="str">
        <f>"by Mary Pope Osborne ; illustrated by Sal Murdocca"</f>
        <v>by Mary Pope Osborne ; illustrated by Sal Murdocca</v>
      </c>
      <c r="G1866" s="3" t="str">
        <f>"Random House"</f>
        <v>Random House</v>
      </c>
      <c r="H1866" s="2" t="str">
        <f>"1996"</f>
        <v>1996</v>
      </c>
      <c r="I1866" s="3" t="str">
        <f>""</f>
        <v/>
      </c>
    </row>
    <row r="1867" spans="1:9" x14ac:dyDescent="0.3">
      <c r="A1867" s="2">
        <v>1866</v>
      </c>
      <c r="B1867" s="4" t="s">
        <v>31</v>
      </c>
      <c r="C1867" s="3" t="str">
        <f>"TFC000001236"</f>
        <v>TFC000001236</v>
      </c>
      <c r="D1867" s="3" t="str">
        <f>"F800-20-1380-(AR 3.0)"</f>
        <v>F800-20-1380-(AR 3.0)</v>
      </c>
      <c r="E1867" s="3" t="str">
        <f>"Lions at lunchtime"</f>
        <v>Lions at lunchtime</v>
      </c>
      <c r="F1867" s="3" t="str">
        <f>"by Mary Pope Osborne ; illustrated by Sal Murdocca"</f>
        <v>by Mary Pope Osborne ; illustrated by Sal Murdocca</v>
      </c>
      <c r="G1867" s="3" t="str">
        <f>"Random House"</f>
        <v>Random House</v>
      </c>
      <c r="H1867" s="2" t="str">
        <f>"1998"</f>
        <v>1998</v>
      </c>
      <c r="I1867" s="3" t="str">
        <f>""</f>
        <v/>
      </c>
    </row>
    <row r="1868" spans="1:9" x14ac:dyDescent="0.3">
      <c r="A1868" s="2">
        <v>1867</v>
      </c>
      <c r="B1868" s="4" t="s">
        <v>31</v>
      </c>
      <c r="C1868" s="3" t="str">
        <f>"TFC000001237"</f>
        <v>TFC000001237</v>
      </c>
      <c r="D1868" s="3" t="str">
        <f>"F800-20-1381-(AR 3.0)"</f>
        <v>F800-20-1381-(AR 3.0)</v>
      </c>
      <c r="E1868" s="3" t="str">
        <f>"Tigers at twilight"</f>
        <v>Tigers at twilight</v>
      </c>
      <c r="F1868" s="3" t="str">
        <f>"by Mary Pope Osborne ; illustrated by Sal Murdocca"</f>
        <v>by Mary Pope Osborne ; illustrated by Sal Murdocca</v>
      </c>
      <c r="G1868" s="3" t="str">
        <f>"Random House"</f>
        <v>Random House</v>
      </c>
      <c r="H1868" s="2" t="str">
        <f>"1999"</f>
        <v>1999</v>
      </c>
      <c r="I1868" s="3" t="str">
        <f>""</f>
        <v/>
      </c>
    </row>
    <row r="1869" spans="1:9" x14ac:dyDescent="0.3">
      <c r="A1869" s="2">
        <v>1868</v>
      </c>
      <c r="B1869" s="4" t="s">
        <v>31</v>
      </c>
      <c r="C1869" s="3" t="str">
        <f>"TFC000001240"</f>
        <v>TFC000001240</v>
      </c>
      <c r="D1869" s="3" t="str">
        <f>"F800-20-1384-(AR 3.0)"</f>
        <v>F800-20-1384-(AR 3.0)</v>
      </c>
      <c r="E1869" s="3" t="str">
        <f>"Junie B. Jones one-man band"</f>
        <v>Junie B. Jones one-man band</v>
      </c>
      <c r="F1869" s="3" t="str">
        <f>"by Barbara Park ; illustrated by Denise Brunkus"</f>
        <v>by Barbara Park ; illustrated by Denise Brunkus</v>
      </c>
      <c r="G1869" s="3" t="str">
        <f>"Random House"</f>
        <v>Random House</v>
      </c>
      <c r="H1869" s="2" t="str">
        <f>"2003"</f>
        <v>2003</v>
      </c>
      <c r="I1869" s="3" t="str">
        <f>""</f>
        <v/>
      </c>
    </row>
    <row r="1870" spans="1:9" x14ac:dyDescent="0.3">
      <c r="A1870" s="2">
        <v>1869</v>
      </c>
      <c r="B1870" s="4" t="s">
        <v>31</v>
      </c>
      <c r="C1870" s="3" t="str">
        <f>"TFC000001241"</f>
        <v>TFC000001241</v>
      </c>
      <c r="D1870" s="3" t="str">
        <f>"F800-20-1385-(AR 3.0)"</f>
        <v>F800-20-1385-(AR 3.0)</v>
      </c>
      <c r="E1870" s="3" t="str">
        <f>"Private eye princess and the emerald pea : a graphic novel"</f>
        <v>Private eye princess and the emerald pea : a graphic novel</v>
      </c>
      <c r="F1870" s="3" t="str">
        <f>"by Martin Powell ; illustrated by Fern Cano"</f>
        <v>by Martin Powell ; illustrated by Fern Cano</v>
      </c>
      <c r="G1870" s="3" t="str">
        <f>"Stone Arch Books"</f>
        <v>Stone Arch Books</v>
      </c>
      <c r="H1870" s="2" t="str">
        <f>"2020"</f>
        <v>2020</v>
      </c>
      <c r="I1870" s="3" t="str">
        <f>""</f>
        <v/>
      </c>
    </row>
    <row r="1871" spans="1:9" x14ac:dyDescent="0.3">
      <c r="A1871" s="2">
        <v>1870</v>
      </c>
      <c r="B1871" s="4" t="s">
        <v>31</v>
      </c>
      <c r="C1871" s="3" t="str">
        <f>"TFC000003722"</f>
        <v>TFC000003722</v>
      </c>
      <c r="D1871" s="3" t="str">
        <f>"F800-21-0480-(AR 3.0)"</f>
        <v>F800-21-0480-(AR 3.0)</v>
      </c>
      <c r="E1871" s="3" t="str">
        <f>"Tiny tough"</f>
        <v>Tiny tough</v>
      </c>
      <c r="F1871" s="3" t="str">
        <f>"by Abby Hanlon"</f>
        <v>by Abby Hanlon</v>
      </c>
      <c r="G1871" s="3" t="str">
        <f>"Puffin Books"</f>
        <v>Puffin Books</v>
      </c>
      <c r="H1871" s="2" t="str">
        <f>"2017"</f>
        <v>2017</v>
      </c>
      <c r="I1871" s="3" t="str">
        <f>""</f>
        <v/>
      </c>
    </row>
    <row r="1872" spans="1:9" x14ac:dyDescent="0.3">
      <c r="A1872" s="2">
        <v>1871</v>
      </c>
      <c r="B1872" s="4" t="s">
        <v>31</v>
      </c>
      <c r="C1872" s="3" t="str">
        <f>"TFC000001243"</f>
        <v>TFC000001243</v>
      </c>
      <c r="D1872" s="3" t="str">
        <f>"F800-20-1387-(AR 3.0)"</f>
        <v>F800-20-1387-(AR 3.0)</v>
      </c>
      <c r="E1872" s="3" t="str">
        <f>"(Stories of)gnomes &amp; goblins"</f>
        <v>(Stories of)gnomes &amp; goblins</v>
      </c>
      <c r="F1872" s="3" t="str">
        <f>"by Christopher Rawson ; adapted by Lesley Sims ; illustrated by Stephen Cartwright"</f>
        <v>by Christopher Rawson ; adapted by Lesley Sims ; illustrated by Stephen Cartwright</v>
      </c>
      <c r="G1872" s="3" t="str">
        <f>"Usborne"</f>
        <v>Usborne</v>
      </c>
      <c r="H1872" s="2" t="str">
        <f>"2006"</f>
        <v>2006</v>
      </c>
      <c r="I1872" s="3" t="str">
        <f>""</f>
        <v/>
      </c>
    </row>
    <row r="1873" spans="1:9" x14ac:dyDescent="0.3">
      <c r="A1873" s="2">
        <v>1872</v>
      </c>
      <c r="B1873" s="4" t="s">
        <v>31</v>
      </c>
      <c r="C1873" s="3" t="str">
        <f>"TFC000001245"</f>
        <v>TFC000001245</v>
      </c>
      <c r="D1873" s="3" t="str">
        <f>"F800-20-1388-(AR 3.0)"</f>
        <v>F800-20-1388-(AR 3.0)</v>
      </c>
      <c r="E1873" s="3" t="str">
        <f>"Mr. Putter &amp; Tabby spin the yarn"</f>
        <v>Mr. Putter &amp; Tabby spin the yarn</v>
      </c>
      <c r="F1873" s="3" t="str">
        <f>"Cynthia Rylant ; illustrated by Arthur Howard"</f>
        <v>Cynthia Rylant ; illustrated by Arthur Howard</v>
      </c>
      <c r="G1873" s="3" t="str">
        <f>"Harcourt Mifflin Harcourt"</f>
        <v>Harcourt Mifflin Harcourt</v>
      </c>
      <c r="H1873" s="2" t="str">
        <f>"2008"</f>
        <v>2008</v>
      </c>
      <c r="I1873" s="3" t="str">
        <f>""</f>
        <v/>
      </c>
    </row>
    <row r="1874" spans="1:9" x14ac:dyDescent="0.3">
      <c r="A1874" s="2">
        <v>1873</v>
      </c>
      <c r="B1874" s="4" t="s">
        <v>31</v>
      </c>
      <c r="C1874" s="3" t="str">
        <f>"TFC000001246"</f>
        <v>TFC000001246</v>
      </c>
      <c r="D1874" s="3" t="str">
        <f>"F800-20-1389-(AR 3.0)"</f>
        <v>F800-20-1389-(AR 3.0)</v>
      </c>
      <c r="E1874" s="3" t="str">
        <f>"Mr. Putter &amp; Tabby take the train"</f>
        <v>Mr. Putter &amp; Tabby take the train</v>
      </c>
      <c r="F1874" s="3" t="str">
        <f>"Cynthia Rylant ; illustrated by Arthur Howard"</f>
        <v>Cynthia Rylant ; illustrated by Arthur Howard</v>
      </c>
      <c r="G1874" s="3" t="str">
        <f>"Harcourt Mifflin Harcourt"</f>
        <v>Harcourt Mifflin Harcourt</v>
      </c>
      <c r="H1874" s="2" t="str">
        <f>"2008"</f>
        <v>2008</v>
      </c>
      <c r="I1874" s="3" t="str">
        <f>""</f>
        <v/>
      </c>
    </row>
    <row r="1875" spans="1:9" x14ac:dyDescent="0.3">
      <c r="A1875" s="2">
        <v>1874</v>
      </c>
      <c r="B1875" s="4" t="s">
        <v>31</v>
      </c>
      <c r="C1875" s="3" t="str">
        <f>"TFC000001247"</f>
        <v>TFC000001247</v>
      </c>
      <c r="D1875" s="3" t="str">
        <f>"F800-20-1390-(AR 3.0)"</f>
        <v>F800-20-1390-(AR 3.0)</v>
      </c>
      <c r="E1875" s="3" t="str">
        <f>"Scaredy-cat, Splat!"</f>
        <v>Scaredy-cat, Splat!</v>
      </c>
      <c r="F1875" s="3" t="str">
        <f>"Rob Scotton"</f>
        <v>Rob Scotton</v>
      </c>
      <c r="G1875" s="3" t="str">
        <f>"Harper"</f>
        <v>Harper</v>
      </c>
      <c r="H1875" s="2" t="str">
        <f>"2010"</f>
        <v>2010</v>
      </c>
      <c r="I1875" s="3" t="str">
        <f>""</f>
        <v/>
      </c>
    </row>
    <row r="1876" spans="1:9" x14ac:dyDescent="0.3">
      <c r="A1876" s="2">
        <v>1875</v>
      </c>
      <c r="B1876" s="4" t="s">
        <v>31</v>
      </c>
      <c r="C1876" s="3" t="str">
        <f>"TFC000001248"</f>
        <v>TFC000001248</v>
      </c>
      <c r="D1876" s="3" t="str">
        <f>"F800-20-1391-(AR 3.0)"</f>
        <v>F800-20-1391-(AR 3.0)</v>
      </c>
      <c r="E1876" s="3" t="str">
        <f>"(The)treasure"</f>
        <v>(The)treasure</v>
      </c>
      <c r="F1876" s="3" t="str">
        <f>"Uri Shulevitz"</f>
        <v>Uri Shulevitz</v>
      </c>
      <c r="G1876" s="3" t="str">
        <f>"Farrar, Straus and Giroux"</f>
        <v>Farrar, Straus and Giroux</v>
      </c>
      <c r="H1876" s="2" t="str">
        <f>"2012"</f>
        <v>2012</v>
      </c>
      <c r="I1876" s="3" t="str">
        <f>""</f>
        <v/>
      </c>
    </row>
    <row r="1877" spans="1:9" x14ac:dyDescent="0.3">
      <c r="A1877" s="2">
        <v>1876</v>
      </c>
      <c r="B1877" s="4" t="s">
        <v>31</v>
      </c>
      <c r="C1877" s="3" t="str">
        <f>"TFC000001249"</f>
        <v>TFC000001249</v>
      </c>
      <c r="D1877" s="3" t="str">
        <f>"F800-20-1392-(AR 3.0)"</f>
        <v>F800-20-1392-(AR 3.0)</v>
      </c>
      <c r="E1877" s="3" t="str">
        <f>"Rain of fear!"</f>
        <v>Rain of fear!</v>
      </c>
      <c r="F1877" s="3" t="str">
        <f>"by Brandon T. Snider ; illustrated by Dario Brizuela"</f>
        <v>by Brandon T. Snider ; illustrated by Dario Brizuela</v>
      </c>
      <c r="G1877" s="3" t="str">
        <f>"Picture Window Books"</f>
        <v>Picture Window Books</v>
      </c>
      <c r="H1877" s="2" t="str">
        <f>"2019"</f>
        <v>2019</v>
      </c>
      <c r="I1877" s="3" t="str">
        <f>""</f>
        <v/>
      </c>
    </row>
    <row r="1878" spans="1:9" x14ac:dyDescent="0.3">
      <c r="A1878" s="2">
        <v>1877</v>
      </c>
      <c r="B1878" s="4" t="s">
        <v>31</v>
      </c>
      <c r="C1878" s="3" t="str">
        <f>"TFC000001250"</f>
        <v>TFC000001250</v>
      </c>
      <c r="D1878" s="3" t="str">
        <f>"F800-20-1393-(AR 3.0)"</f>
        <v>F800-20-1393-(AR 3.0)</v>
      </c>
      <c r="E1878" s="3" t="str">
        <f>"(A)sick day for Amos McGee"</f>
        <v>(A)sick day for Amos McGee</v>
      </c>
      <c r="F1878" s="3" t="str">
        <f>"written by Philip C. Stead ; illustrations by Erin E. Stead"</f>
        <v>written by Philip C. Stead ; illustrations by Erin E. Stead</v>
      </c>
      <c r="G1878" s="3" t="str">
        <f>"A Neal Roaring Brook:Roaring brook press"</f>
        <v>A Neal Roaring Brook:Roaring brook press</v>
      </c>
      <c r="H1878" s="2" t="str">
        <f>"2010"</f>
        <v>2010</v>
      </c>
      <c r="I1878" s="3" t="str">
        <f>""</f>
        <v/>
      </c>
    </row>
    <row r="1879" spans="1:9" x14ac:dyDescent="0.3">
      <c r="A1879" s="2">
        <v>1878</v>
      </c>
      <c r="B1879" s="4" t="s">
        <v>31</v>
      </c>
      <c r="C1879" s="3" t="str">
        <f>"TFC000001252"</f>
        <v>TFC000001252</v>
      </c>
      <c r="D1879" s="3" t="str">
        <f>"F800-20-1395-(AR 3.0)"</f>
        <v>F800-20-1395-(AR 3.0)</v>
      </c>
      <c r="E1879" s="3" t="str">
        <f>"Mud menace!"</f>
        <v>Mud menace!</v>
      </c>
      <c r="F1879" s="3" t="str">
        <f>"by Laurie S. Sutton ; illustrated by Dario Brizuela"</f>
        <v>by Laurie S. Sutton ; illustrated by Dario Brizuela</v>
      </c>
      <c r="G1879" s="3" t="str">
        <f>"Picture Window Books"</f>
        <v>Picture Window Books</v>
      </c>
      <c r="H1879" s="2" t="str">
        <f>"2019"</f>
        <v>2019</v>
      </c>
      <c r="I1879" s="3" t="str">
        <f>""</f>
        <v/>
      </c>
    </row>
    <row r="1880" spans="1:9" x14ac:dyDescent="0.3">
      <c r="A1880" s="2">
        <v>1879</v>
      </c>
      <c r="B1880" s="4" t="s">
        <v>31</v>
      </c>
      <c r="C1880" s="3" t="str">
        <f>"TFC000002862"</f>
        <v>TFC000002862</v>
      </c>
      <c r="D1880" s="3" t="str">
        <f>"F400-20-1328-(AR 3.0)"</f>
        <v>F400-20-1328-(AR 3.0)</v>
      </c>
      <c r="E1880" s="3" t="str">
        <f>"Chameleon!"</f>
        <v>Chameleon!</v>
      </c>
      <c r="F1880" s="3" t="str">
        <f>"story by Joy Cowley ; illustrated with photographs by Nic Bishop"</f>
        <v>story by Joy Cowley ; illustrated with photographs by Nic Bishop</v>
      </c>
      <c r="G1880" s="3" t="str">
        <f>"Scholastic"</f>
        <v>Scholastic</v>
      </c>
      <c r="H1880" s="2" t="str">
        <f>"2005"</f>
        <v>2005</v>
      </c>
      <c r="I1880" s="3" t="str">
        <f>""</f>
        <v/>
      </c>
    </row>
    <row r="1881" spans="1:9" x14ac:dyDescent="0.3">
      <c r="A1881" s="2">
        <v>1880</v>
      </c>
      <c r="B1881" s="4" t="s">
        <v>31</v>
      </c>
      <c r="C1881" s="3" t="str">
        <f>"TFC000002863"</f>
        <v>TFC000002863</v>
      </c>
      <c r="D1881" s="3" t="str">
        <f>"F400-20-1329-(AR 3.0)"</f>
        <v>F400-20-1329-(AR 3.0)</v>
      </c>
      <c r="E1881" s="3" t="str">
        <f>"Chameleon, Chameleon"</f>
        <v>Chameleon, Chameleon</v>
      </c>
      <c r="F1881" s="3" t="str">
        <f>"by Joy Cowley ; photographs by Nic Bishop"</f>
        <v>by Joy Cowley ; photographs by Nic Bishop</v>
      </c>
      <c r="G1881" s="3" t="str">
        <f>"Scholastic press"</f>
        <v>Scholastic press</v>
      </c>
      <c r="H1881" s="2" t="str">
        <f>"2005"</f>
        <v>2005</v>
      </c>
      <c r="I1881" s="3" t="str">
        <f>""</f>
        <v/>
      </c>
    </row>
    <row r="1882" spans="1:9" x14ac:dyDescent="0.3">
      <c r="A1882" s="2">
        <v>1881</v>
      </c>
      <c r="B1882" s="4" t="s">
        <v>31</v>
      </c>
      <c r="C1882" s="3" t="str">
        <f>"TFC000002864"</f>
        <v>TFC000002864</v>
      </c>
      <c r="D1882" s="3" t="str">
        <f>"F400-20-1330-(AR 3.0)"</f>
        <v>F400-20-1330-(AR 3.0)</v>
      </c>
      <c r="E1882" s="3" t="str">
        <f>"Chomp! : a book about sharks"</f>
        <v>Chomp! : a book about sharks</v>
      </c>
      <c r="F1882" s="3" t="str">
        <f>"by Melvin Berger"</f>
        <v>by Melvin Berger</v>
      </c>
      <c r="G1882" s="3" t="str">
        <f>"Scholastic"</f>
        <v>Scholastic</v>
      </c>
      <c r="H1882" s="2" t="str">
        <f>"1999"</f>
        <v>1999</v>
      </c>
      <c r="I1882" s="3" t="str">
        <f>""</f>
        <v/>
      </c>
    </row>
    <row r="1883" spans="1:9" x14ac:dyDescent="0.3">
      <c r="A1883" s="2">
        <v>1882</v>
      </c>
      <c r="B1883" s="4" t="s">
        <v>31</v>
      </c>
      <c r="C1883" s="3" t="str">
        <f>"TFC000002865"</f>
        <v>TFC000002865</v>
      </c>
      <c r="D1883" s="3" t="str">
        <f>"F800-20-1398-(AR 3.0)"</f>
        <v>F800-20-1398-(AR 3.0)</v>
      </c>
      <c r="E1883" s="3" t="str">
        <f>"Cross a bridge"</f>
        <v>Cross a bridge</v>
      </c>
      <c r="F1883" s="3" t="str">
        <f>"by Ryan Ann Hunter ; illustrated by Edward Miller"</f>
        <v>by Ryan Ann Hunter ; illustrated by Edward Miller</v>
      </c>
      <c r="G1883" s="3" t="str">
        <f>"Scholastic"</f>
        <v>Scholastic</v>
      </c>
      <c r="H1883" s="2" t="str">
        <f>"1999"</f>
        <v>1999</v>
      </c>
      <c r="I1883" s="3" t="str">
        <f>""</f>
        <v/>
      </c>
    </row>
    <row r="1884" spans="1:9" x14ac:dyDescent="0.3">
      <c r="A1884" s="2">
        <v>1883</v>
      </c>
      <c r="B1884" s="4" t="s">
        <v>31</v>
      </c>
      <c r="C1884" s="3" t="str">
        <f>"TFC000002866"</f>
        <v>TFC000002866</v>
      </c>
      <c r="D1884" s="3" t="str">
        <f>"F800-20-1399-(AR 3.0)"</f>
        <v>F800-20-1399-(AR 3.0)</v>
      </c>
      <c r="E1884" s="3" t="str">
        <f>"Iris and Walter and the substitute teacher"</f>
        <v>Iris and Walter and the substitute teacher</v>
      </c>
      <c r="F1884" s="3" t="str">
        <f>"written by Elissa Haden Guest ; illustrated by Christine Davenier"</f>
        <v>written by Elissa Haden Guest ; illustrated by Christine Davenier</v>
      </c>
      <c r="G1884" s="3" t="str">
        <f>"Houghton Mifflin Harcourt"</f>
        <v>Houghton Mifflin Harcourt</v>
      </c>
      <c r="H1884" s="2" t="str">
        <f>"2014"</f>
        <v>2014</v>
      </c>
      <c r="I1884" s="3" t="str">
        <f>""</f>
        <v/>
      </c>
    </row>
    <row r="1885" spans="1:9" x14ac:dyDescent="0.3">
      <c r="A1885" s="2">
        <v>1884</v>
      </c>
      <c r="B1885" s="4" t="s">
        <v>31</v>
      </c>
      <c r="C1885" s="3" t="str">
        <f>"TFC000002867"</f>
        <v>TFC000002867</v>
      </c>
      <c r="D1885" s="3" t="str">
        <f>"F400-20-1331-(AR 3.0)"</f>
        <v>F400-20-1331-(AR 3.0)</v>
      </c>
      <c r="E1885" s="3" t="str">
        <f>"Sharks"</f>
        <v>Sharks</v>
      </c>
      <c r="F1885" s="3" t="str">
        <f>"Brenda Z. Guiberson"</f>
        <v>Brenda Z. Guiberson</v>
      </c>
      <c r="G1885" s="3" t="str">
        <f>"Scholastic"</f>
        <v>Scholastic</v>
      </c>
      <c r="H1885" s="2" t="str">
        <f>"2003"</f>
        <v>2003</v>
      </c>
      <c r="I1885" s="3" t="str">
        <f>""</f>
        <v/>
      </c>
    </row>
    <row r="1886" spans="1:9" x14ac:dyDescent="0.3">
      <c r="A1886" s="2">
        <v>1885</v>
      </c>
      <c r="B1886" s="4" t="s">
        <v>31</v>
      </c>
      <c r="C1886" s="3" t="str">
        <f>"TFC000002868"</f>
        <v>TFC000002868</v>
      </c>
      <c r="D1886" s="3" t="str">
        <f>"F800-20-1400-(AR 3.0)"</f>
        <v>F800-20-1400-(AR 3.0)</v>
      </c>
      <c r="E1886" s="3" t="str">
        <f>"Vincent comes home"</f>
        <v>Vincent comes home</v>
      </c>
      <c r="F1886" s="3" t="str">
        <f>"Jessixa Bagle, Aaron Bagley"</f>
        <v>Jessixa Bagle, Aaron Bagley</v>
      </c>
      <c r="G1886" s="3" t="str">
        <f>"Roaring Brook Press"</f>
        <v>Roaring Brook Press</v>
      </c>
      <c r="H1886" s="2" t="str">
        <f>"2018"</f>
        <v>2018</v>
      </c>
      <c r="I1886" s="3" t="str">
        <f>""</f>
        <v/>
      </c>
    </row>
    <row r="1887" spans="1:9" x14ac:dyDescent="0.3">
      <c r="A1887" s="2">
        <v>1886</v>
      </c>
      <c r="B1887" s="4" t="s">
        <v>31</v>
      </c>
      <c r="C1887" s="3" t="str">
        <f>"TFC000002869"</f>
        <v>TFC000002869</v>
      </c>
      <c r="D1887" s="3" t="str">
        <f>"F800-20-1401-(AR 3.0)"</f>
        <v>F800-20-1401-(AR 3.0)</v>
      </c>
      <c r="E1887" s="3" t="str">
        <f>"When Gorilla goes walking"</f>
        <v>When Gorilla goes walking</v>
      </c>
      <c r="F1887" s="3" t="str">
        <f>"by Nikki Grimes ; illustrated by Shane Evans"</f>
        <v>by Nikki Grimes ; illustrated by Shane Evans</v>
      </c>
      <c r="G1887" s="3" t="str">
        <f>"Scholastic"</f>
        <v>Scholastic</v>
      </c>
      <c r="H1887" s="2" t="str">
        <f>"2010"</f>
        <v>2010</v>
      </c>
      <c r="I1887" s="3" t="str">
        <f>""</f>
        <v/>
      </c>
    </row>
    <row r="1888" spans="1:9" x14ac:dyDescent="0.3">
      <c r="A1888" s="2">
        <v>1887</v>
      </c>
      <c r="B1888" s="4" t="s">
        <v>31</v>
      </c>
      <c r="C1888" s="3" t="str">
        <f>"TFC000002979"</f>
        <v>TFC000002979</v>
      </c>
      <c r="D1888" s="3" t="str">
        <f>"F800-20-1402-(AR 3.0)"</f>
        <v>F800-20-1402-(AR 3.0)</v>
      </c>
      <c r="E1888" s="3" t="str">
        <f>"Blossom battle!"</f>
        <v>Blossom battle!</v>
      </c>
      <c r="F1888" s="3" t="str">
        <f>"by Laurie S. Sutton ; illustrated by Dario Brizuela"</f>
        <v>by Laurie S. Sutton ; illustrated by Dario Brizuela</v>
      </c>
      <c r="G1888" s="3" t="str">
        <f>"Picture Window Books"</f>
        <v>Picture Window Books</v>
      </c>
      <c r="H1888" s="2" t="str">
        <f>"2019"</f>
        <v>2019</v>
      </c>
      <c r="I1888" s="3" t="str">
        <f>""</f>
        <v/>
      </c>
    </row>
    <row r="1889" spans="1:9" x14ac:dyDescent="0.3">
      <c r="A1889" s="2">
        <v>1888</v>
      </c>
      <c r="B1889" s="4" t="s">
        <v>31</v>
      </c>
      <c r="C1889" s="3" t="str">
        <f>"TFC000003011"</f>
        <v>TFC000003011</v>
      </c>
      <c r="D1889" s="3" t="str">
        <f>"F800-20-1403-(AR 3.0)"</f>
        <v>F800-20-1403-(AR 3.0)</v>
      </c>
      <c r="E1889" s="3" t="str">
        <f>"Don't go there!"</f>
        <v>Don't go there!</v>
      </c>
      <c r="F1889" s="3" t="str">
        <f>"Jeanne WillisH0 ; illustrated by Hrefna Bragadottir"</f>
        <v>Jeanne WillisH0 ; illustrated by Hrefna Bragadottir</v>
      </c>
      <c r="G1889" s="3" t="str">
        <f>"Andersen Press"</f>
        <v>Andersen Press</v>
      </c>
      <c r="H1889" s="2" t="str">
        <f>"2019"</f>
        <v>2019</v>
      </c>
      <c r="I1889" s="3" t="str">
        <f>""</f>
        <v/>
      </c>
    </row>
    <row r="1890" spans="1:9" x14ac:dyDescent="0.3">
      <c r="A1890" s="2">
        <v>1889</v>
      </c>
      <c r="B1890" s="4" t="s">
        <v>31</v>
      </c>
      <c r="C1890" s="3" t="str">
        <f>"TFC000003233"</f>
        <v>TFC000003233</v>
      </c>
      <c r="D1890" s="3" t="str">
        <f>"F800-21-0464-(AR 3.0)"</f>
        <v>F800-21-0464-(AR 3.0)</v>
      </c>
      <c r="E1890" s="3" t="str">
        <f>"Curious George in the snow"</f>
        <v>Curious George in the snow</v>
      </c>
      <c r="F1890" s="3" t="str">
        <f>"by Margret Rey, H. A. Rey"</f>
        <v>by Margret Rey, H. A. Rey</v>
      </c>
      <c r="G1890" s="3" t="str">
        <f>"Houghton Mifflin"</f>
        <v>Houghton Mifflin</v>
      </c>
      <c r="H1890" s="2" t="str">
        <f>"1998"</f>
        <v>1998</v>
      </c>
      <c r="I1890" s="3" t="str">
        <f>""</f>
        <v/>
      </c>
    </row>
    <row r="1891" spans="1:9" x14ac:dyDescent="0.3">
      <c r="A1891" s="2">
        <v>1890</v>
      </c>
      <c r="B1891" s="4" t="s">
        <v>31</v>
      </c>
      <c r="C1891" s="3" t="str">
        <f>"TFC000003263"</f>
        <v>TFC000003263</v>
      </c>
      <c r="D1891" s="3" t="str">
        <f>"F800-21-0465-(AR 3.0)"</f>
        <v>F800-21-0465-(AR 3.0)</v>
      </c>
      <c r="E1891" s="3" t="str">
        <f>"Junie B. Jones is a graduation girl"</f>
        <v>Junie B. Jones is a graduation girl</v>
      </c>
      <c r="F1891" s="3" t="str">
        <f>"written by Barbara Park ; illustrated by Denise Brunkus"</f>
        <v>written by Barbara Park ; illustrated by Denise Brunkus</v>
      </c>
      <c r="G1891" s="3" t="str">
        <f>"Random House"</f>
        <v>Random House</v>
      </c>
      <c r="H1891" s="2" t="str">
        <f>"2001"</f>
        <v>2001</v>
      </c>
      <c r="I1891" s="3" t="str">
        <f>""</f>
        <v/>
      </c>
    </row>
    <row r="1892" spans="1:9" x14ac:dyDescent="0.3">
      <c r="A1892" s="2">
        <v>1891</v>
      </c>
      <c r="B1892" s="4" t="s">
        <v>31</v>
      </c>
      <c r="C1892" s="3" t="str">
        <f>"TFC000003267"</f>
        <v>TFC000003267</v>
      </c>
      <c r="D1892" s="3" t="str">
        <f>"F800-21-0466-(AR 3.0)"</f>
        <v>F800-21-0466-(AR 3.0)</v>
      </c>
      <c r="E1892" s="3" t="str">
        <f>"Curious George at the parade"</f>
        <v>Curious George at the parade</v>
      </c>
      <c r="F1892" s="3" t="str">
        <f>"by Margret Rey ; illustrated by H. A. Rey"</f>
        <v>by Margret Rey ; illustrated by H. A. Rey</v>
      </c>
      <c r="G1892" s="3" t="str">
        <f>"Houghton Mifflin"</f>
        <v>Houghton Mifflin</v>
      </c>
      <c r="H1892" s="2" t="str">
        <f>"1999"</f>
        <v>1999</v>
      </c>
      <c r="I1892" s="3" t="str">
        <f>""</f>
        <v/>
      </c>
    </row>
    <row r="1893" spans="1:9" x14ac:dyDescent="0.3">
      <c r="A1893" s="2">
        <v>1892</v>
      </c>
      <c r="B1893" s="4" t="s">
        <v>31</v>
      </c>
      <c r="C1893" s="3" t="str">
        <f>"TFC000003268"</f>
        <v>TFC000003268</v>
      </c>
      <c r="D1893" s="3" t="str">
        <f>"F800-21-0467-(AR 3.0)"</f>
        <v>F800-21-0467-(AR 3.0)</v>
      </c>
      <c r="E1893" s="3" t="str">
        <f>"Horrible Harry and the Goog"</f>
        <v>Horrible Harry and the Goog</v>
      </c>
      <c r="F1893" s="3" t="str">
        <f>"by Suzy Kline ; pictures by Frank Remkiewicz"</f>
        <v>by Suzy Kline ; pictures by Frank Remkiewicz</v>
      </c>
      <c r="G1893" s="3" t="str">
        <f>"Viking"</f>
        <v>Viking</v>
      </c>
      <c r="H1893" s="2" t="str">
        <f>"2005"</f>
        <v>2005</v>
      </c>
      <c r="I1893" s="3" t="str">
        <f>""</f>
        <v/>
      </c>
    </row>
    <row r="1894" spans="1:9" x14ac:dyDescent="0.3">
      <c r="A1894" s="2">
        <v>1893</v>
      </c>
      <c r="B1894" s="4" t="s">
        <v>31</v>
      </c>
      <c r="C1894" s="3" t="str">
        <f>"TFC000003279"</f>
        <v>TFC000003279</v>
      </c>
      <c r="D1894" s="3" t="str">
        <f>"F800-21-0468-(AR 3.0)"</f>
        <v>F800-21-0468-(AR 3.0)</v>
      </c>
      <c r="E1894" s="3" t="str">
        <f>"Ghost town at sundown"</f>
        <v>Ghost town at sundown</v>
      </c>
      <c r="F1894" s="3" t="str">
        <f>"by Mary Pope Osborne ; illustrated by Sal Murdocca"</f>
        <v>by Mary Pope Osborne ; illustrated by Sal Murdocca</v>
      </c>
      <c r="G1894" s="3" t="str">
        <f>"Random House"</f>
        <v>Random House</v>
      </c>
      <c r="H1894" s="2" t="str">
        <f>"1997"</f>
        <v>1997</v>
      </c>
      <c r="I1894" s="3" t="str">
        <f>""</f>
        <v/>
      </c>
    </row>
    <row r="1895" spans="1:9" x14ac:dyDescent="0.3">
      <c r="A1895" s="2">
        <v>1894</v>
      </c>
      <c r="B1895" s="4" t="s">
        <v>31</v>
      </c>
      <c r="C1895" s="3" t="str">
        <f>"TFC000003346"</f>
        <v>TFC000003346</v>
      </c>
      <c r="D1895" s="3" t="str">
        <f>"F800-21-0469-(AR 3.0)"</f>
        <v>F800-21-0469-(AR 3.0)</v>
      </c>
      <c r="E1895" s="3" t="str">
        <f>"Astrid &amp; Apollo and the starry campout"</f>
        <v>Astrid &amp; Apollo and the starry campout</v>
      </c>
      <c r="F1895" s="3" t="str">
        <f>"by V. T. Bidania ; illustrated by Dara Lashia Lee"</f>
        <v>by V. T. Bidania ; illustrated by Dara Lashia Lee</v>
      </c>
      <c r="G1895" s="3" t="str">
        <f>"Picture Window Books"</f>
        <v>Picture Window Books</v>
      </c>
      <c r="H1895" s="2" t="str">
        <f>"2021"</f>
        <v>2021</v>
      </c>
      <c r="I1895" s="3" t="str">
        <f>""</f>
        <v/>
      </c>
    </row>
    <row r="1896" spans="1:9" x14ac:dyDescent="0.3">
      <c r="A1896" s="2">
        <v>1895</v>
      </c>
      <c r="B1896" s="4" t="s">
        <v>31</v>
      </c>
      <c r="C1896" s="3" t="str">
        <f>"TFC000003347"</f>
        <v>TFC000003347</v>
      </c>
      <c r="D1896" s="3" t="str">
        <f>"F400-21-0460-(AR 3.0)"</f>
        <v>F400-21-0460-(AR 3.0)</v>
      </c>
      <c r="E1896" s="3" t="str">
        <f>"Cheetahs"</f>
        <v>Cheetahs</v>
      </c>
      <c r="F1896" s="3" t="str">
        <f>"by Jaclyn Jaycox"</f>
        <v>by Jaclyn Jaycox</v>
      </c>
      <c r="G1896" s="3" t="str">
        <f>"Pebble"</f>
        <v>Pebble</v>
      </c>
      <c r="H1896" s="2" t="str">
        <f>"2021"</f>
        <v>2021</v>
      </c>
      <c r="I1896" s="3" t="str">
        <f>""</f>
        <v/>
      </c>
    </row>
    <row r="1897" spans="1:9" x14ac:dyDescent="0.3">
      <c r="A1897" s="2">
        <v>1896</v>
      </c>
      <c r="B1897" s="4" t="s">
        <v>31</v>
      </c>
      <c r="C1897" s="3" t="str">
        <f>"TFC000003348"</f>
        <v>TFC000003348</v>
      </c>
      <c r="D1897" s="3" t="str">
        <f>"F300-21-0459-(AR 3.0)"</f>
        <v>F300-21-0459-(AR 3.0)</v>
      </c>
      <c r="E1897" s="3" t="str">
        <f>"School around the world"</f>
        <v>School around the world</v>
      </c>
      <c r="F1897" s="3" t="str">
        <f>"by Mary Meinking"</f>
        <v>by Mary Meinking</v>
      </c>
      <c r="G1897" s="3" t="str">
        <f>"Pebble"</f>
        <v>Pebble</v>
      </c>
      <c r="H1897" s="2" t="str">
        <f>"2021"</f>
        <v>2021</v>
      </c>
      <c r="I1897" s="3" t="str">
        <f>""</f>
        <v/>
      </c>
    </row>
    <row r="1898" spans="1:9" x14ac:dyDescent="0.3">
      <c r="A1898" s="2">
        <v>1897</v>
      </c>
      <c r="B1898" s="4" t="s">
        <v>31</v>
      </c>
      <c r="C1898" s="3" t="str">
        <f>"TFC000003349"</f>
        <v>TFC000003349</v>
      </c>
      <c r="D1898" s="3" t="str">
        <f>"F900-21-0502-(AR 3.0)"</f>
        <v>F900-21-0502-(AR 3.0)</v>
      </c>
      <c r="E1898" s="3" t="str">
        <f>"Terry Fox and me"</f>
        <v>Terry Fox and me</v>
      </c>
      <c r="F1898" s="3" t="str">
        <f>"written by Mary Beth Leatherdale ; illustrated by Milan Pavlovic"</f>
        <v>written by Mary Beth Leatherdale ; illustrated by Milan Pavlovic</v>
      </c>
      <c r="G1898" s="3" t="str">
        <f>"Tundra Books"</f>
        <v>Tundra Books</v>
      </c>
      <c r="H1898" s="2" t="str">
        <f>"2020"</f>
        <v>2020</v>
      </c>
      <c r="I1898" s="3" t="str">
        <f>""</f>
        <v/>
      </c>
    </row>
    <row r="1899" spans="1:9" x14ac:dyDescent="0.3">
      <c r="A1899" s="2">
        <v>1898</v>
      </c>
      <c r="B1899" s="4" t="s">
        <v>31</v>
      </c>
      <c r="C1899" s="3" t="str">
        <f>"TFC000003350"</f>
        <v>TFC000003350</v>
      </c>
      <c r="D1899" s="3" t="str">
        <f>"F800-21-0470-(AR 3.0)"</f>
        <v>F800-21-0470-(AR 3.0)</v>
      </c>
      <c r="E1899" s="3" t="str">
        <f>"(The)world needs more purple people"</f>
        <v>(The)world needs more purple people</v>
      </c>
      <c r="F1899" s="3" t="str">
        <f>"By Kristen Bell, Benjamin Hart ; Illustrations by Daniel Wiseman"</f>
        <v>By Kristen Bell, Benjamin Hart ; Illustrations by Daniel Wiseman</v>
      </c>
      <c r="G1899" s="3" t="str">
        <f>"Random House"</f>
        <v>Random House</v>
      </c>
      <c r="H1899" s="2" t="str">
        <f>"2020"</f>
        <v>2020</v>
      </c>
      <c r="I1899" s="3" t="str">
        <f>""</f>
        <v/>
      </c>
    </row>
    <row r="1900" spans="1:9" x14ac:dyDescent="0.3">
      <c r="A1900" s="2">
        <v>1899</v>
      </c>
      <c r="B1900" s="4" t="s">
        <v>31</v>
      </c>
      <c r="C1900" s="3" t="str">
        <f>"TFC000003483"</f>
        <v>TFC000003483</v>
      </c>
      <c r="D1900" s="3" t="str">
        <f>"F800-21-0472-(AR 3.0)"</f>
        <v>F800-21-0472-(AR 3.0)</v>
      </c>
      <c r="E1900" s="3" t="str">
        <f>"Monkey with a tool belt"</f>
        <v>Monkey with a tool belt</v>
      </c>
      <c r="F1900" s="3" t="str">
        <f>"by Chris Monroe"</f>
        <v>by Chris Monroe</v>
      </c>
      <c r="G1900" s="3" t="str">
        <f>"Carolrhoda Books"</f>
        <v>Carolrhoda Books</v>
      </c>
      <c r="H1900" s="2" t="str">
        <f>"2008"</f>
        <v>2008</v>
      </c>
      <c r="I1900" s="3" t="str">
        <f>""</f>
        <v/>
      </c>
    </row>
    <row r="1901" spans="1:9" x14ac:dyDescent="0.3">
      <c r="A1901" s="2">
        <v>1900</v>
      </c>
      <c r="B1901" s="4" t="s">
        <v>31</v>
      </c>
      <c r="C1901" s="3" t="str">
        <f>"TFC000003545"</f>
        <v>TFC000003545</v>
      </c>
      <c r="D1901" s="3" t="str">
        <f>"F800-21-0473-(AR 3.0)"</f>
        <v>F800-21-0473-(AR 3.0)</v>
      </c>
      <c r="E1901" s="3" t="str">
        <f>"Oh, Baby!"</f>
        <v>Oh, Baby!</v>
      </c>
      <c r="F1901" s="3" t="str">
        <f>"by Nancy Krulik ; illustrated by John &amp; Wendy"</f>
        <v>by Nancy Krulik ; illustrated by John &amp; Wendy</v>
      </c>
      <c r="G1901" s="3" t="str">
        <f>"Grosset &amp; Dunlap"</f>
        <v>Grosset &amp; Dunlap</v>
      </c>
      <c r="H1901" s="2" t="str">
        <f>"2009"</f>
        <v>2009</v>
      </c>
      <c r="I1901" s="3" t="str">
        <f>""</f>
        <v/>
      </c>
    </row>
    <row r="1902" spans="1:9" x14ac:dyDescent="0.3">
      <c r="A1902" s="2">
        <v>1901</v>
      </c>
      <c r="B1902" s="4" t="s">
        <v>31</v>
      </c>
      <c r="C1902" s="3" t="str">
        <f>"TFC000003553"</f>
        <v>TFC000003553</v>
      </c>
      <c r="D1902" s="3" t="str">
        <f>"F400-21-0461-(AR 3.0)"</f>
        <v>F400-21-0461-(AR 3.0)</v>
      </c>
      <c r="E1902" s="3" t="str">
        <f>"Puffins"</f>
        <v>Puffins</v>
      </c>
      <c r="F1902" s="3" t="str">
        <f>"by Jaclyn Jaycox"</f>
        <v>by Jaclyn Jaycox</v>
      </c>
      <c r="G1902" s="3" t="str">
        <f>"Pebble"</f>
        <v>Pebble</v>
      </c>
      <c r="H1902" s="2" t="str">
        <f>"2021"</f>
        <v>2021</v>
      </c>
      <c r="I1902" s="3" t="str">
        <f>""</f>
        <v/>
      </c>
    </row>
    <row r="1903" spans="1:9" x14ac:dyDescent="0.3">
      <c r="A1903" s="2">
        <v>1902</v>
      </c>
      <c r="B1903" s="4" t="s">
        <v>31</v>
      </c>
      <c r="C1903" s="3" t="str">
        <f>"TFC000003554"</f>
        <v>TFC000003554</v>
      </c>
      <c r="D1903" s="3" t="str">
        <f>"F800-21-0474-(AR 3.0)"</f>
        <v>F800-21-0474-(AR 3.0)</v>
      </c>
      <c r="E1903" s="3" t="str">
        <f>"Slime time!"</f>
        <v>Slime time!</v>
      </c>
      <c r="F1903" s="3" t="str">
        <f>"by John Sazaklis ; illustrated by Patrycja Fabicka"</f>
        <v>by John Sazaklis ; illustrated by Patrycja Fabicka</v>
      </c>
      <c r="G1903" s="3" t="str">
        <f>"Picture Window Books"</f>
        <v>Picture Window Books</v>
      </c>
      <c r="H1903" s="2" t="str">
        <f>"2020"</f>
        <v>2020</v>
      </c>
      <c r="I1903" s="3" t="str">
        <f>""</f>
        <v/>
      </c>
    </row>
    <row r="1904" spans="1:9" x14ac:dyDescent="0.3">
      <c r="A1904" s="2">
        <v>1903</v>
      </c>
      <c r="B1904" s="4" t="s">
        <v>31</v>
      </c>
      <c r="C1904" s="3" t="str">
        <f>"TFC000003566"</f>
        <v>TFC000003566</v>
      </c>
      <c r="D1904" s="3" t="str">
        <f>"F800-21-0475-(AR 3.0)"</f>
        <v>F800-21-0475-(AR 3.0)</v>
      </c>
      <c r="E1904" s="3" t="str">
        <f>"Alexander and the wind-up mouse"</f>
        <v>Alexander and the wind-up mouse</v>
      </c>
      <c r="F1904" s="3" t="str">
        <f>"by Leo Lionni"</f>
        <v>by Leo Lionni</v>
      </c>
      <c r="G1904" s="3" t="str">
        <f>"Alfred A. Knopf"</f>
        <v>Alfred A. Knopf</v>
      </c>
      <c r="H1904" s="2" t="str">
        <f>"1997"</f>
        <v>1997</v>
      </c>
      <c r="I1904" s="3" t="str">
        <f>""</f>
        <v/>
      </c>
    </row>
    <row r="1905" spans="1:9" x14ac:dyDescent="0.3">
      <c r="A1905" s="2">
        <v>1904</v>
      </c>
      <c r="B1905" s="4" t="s">
        <v>31</v>
      </c>
      <c r="C1905" s="3" t="str">
        <f>"TFC000003616"</f>
        <v>TFC000003616</v>
      </c>
      <c r="D1905" s="3" t="str">
        <f>"F800-21-0476-(AR 3.0)"</f>
        <v>F800-21-0476-(AR 3.0)</v>
      </c>
      <c r="E1905" s="3" t="str">
        <f>"Far out fairy tales : five full-cover graphic novels"</f>
        <v>Far out fairy tales : five full-cover graphic novels</v>
      </c>
      <c r="F1905" s="3" t="str">
        <f>"designer,  Bob Lentz &amp; Hilary Wacholz ; edited by Sean Tulien ; lettering,  Jaymes Reed"</f>
        <v>designer,  Bob Lentz &amp; Hilary Wacholz ; edited by Sean Tulien ; lettering,  Jaymes Reed</v>
      </c>
      <c r="G1905" s="3" t="str">
        <f>"Stone Arch Books, a Capstone imprint"</f>
        <v>Stone Arch Books, a Capstone imprint</v>
      </c>
      <c r="H1905" s="2" t="str">
        <f>"2017"</f>
        <v>2017</v>
      </c>
      <c r="I1905" s="3" t="str">
        <f>""</f>
        <v/>
      </c>
    </row>
    <row r="1906" spans="1:9" x14ac:dyDescent="0.3">
      <c r="A1906" s="2">
        <v>1905</v>
      </c>
      <c r="B1906" s="4" t="s">
        <v>31</v>
      </c>
      <c r="C1906" s="3" t="str">
        <f>"TFC000003617"</f>
        <v>TFC000003617</v>
      </c>
      <c r="D1906" s="3" t="str">
        <f>"F800-21-0477-(AR 3.0)"</f>
        <v>F800-21-0477-(AR 3.0)</v>
      </c>
      <c r="E1906" s="3" t="str">
        <f>"Private Eye Princess and the emerald pea : a graphic novel"</f>
        <v>Private Eye Princess and the emerald pea : a graphic novel</v>
      </c>
      <c r="F1906" s="3" t="str">
        <f>"by Martin Powell ; illustrated by Fernando Cano"</f>
        <v>by Martin Powell ; illustrated by Fernando Cano</v>
      </c>
      <c r="G1906" s="3" t="str">
        <f>"Raintree"</f>
        <v>Raintree</v>
      </c>
      <c r="H1906" s="2" t="str">
        <f>"2020"</f>
        <v>2020</v>
      </c>
      <c r="I1906" s="3" t="str">
        <f>""</f>
        <v/>
      </c>
    </row>
    <row r="1907" spans="1:9" x14ac:dyDescent="0.3">
      <c r="A1907" s="2">
        <v>1906</v>
      </c>
      <c r="B1907" s="4" t="s">
        <v>31</v>
      </c>
      <c r="C1907" s="3" t="str">
        <f>"TFC000003679"</f>
        <v>TFC000003679</v>
      </c>
      <c r="D1907" s="3" t="str">
        <f>"F800-21-0478-(AR 3.0)"</f>
        <v>F800-21-0478-(AR 3.0)</v>
      </c>
      <c r="E1907" s="3" t="str">
        <f>"Unicorn diaries. 2:, Bo and the dragon-pup"</f>
        <v>Unicorn diaries. 2:, Bo and the dragon-pup</v>
      </c>
      <c r="F1907" s="3" t="str">
        <f>"by Rebecca Elliott"</f>
        <v>by Rebecca Elliott</v>
      </c>
      <c r="G1907" s="3" t="str">
        <f>"Branches:Scholastic"</f>
        <v>Branches:Scholastic</v>
      </c>
      <c r="H1907" s="2" t="str">
        <f>"2020"</f>
        <v>2020</v>
      </c>
      <c r="I1907" s="3" t="str">
        <f>""</f>
        <v/>
      </c>
    </row>
    <row r="1908" spans="1:9" x14ac:dyDescent="0.3">
      <c r="A1908" s="2">
        <v>1907</v>
      </c>
      <c r="B1908" s="4" t="s">
        <v>31</v>
      </c>
      <c r="C1908" s="3" t="str">
        <f>"TFC000003715"</f>
        <v>TFC000003715</v>
      </c>
      <c r="D1908" s="3" t="str">
        <f>"F800-21-0479-(AR 3.0)"</f>
        <v>F800-21-0479-(AR 3.0)</v>
      </c>
      <c r="E1908" s="3" t="str">
        <f>"Agent Moose"</f>
        <v>Agent Moose</v>
      </c>
      <c r="F1908" s="3" t="str">
        <f>"Mo O'Hara ; with art by Jess Bradley"</f>
        <v>Mo O'Hara ; with art by Jess Bradley</v>
      </c>
      <c r="G1908" s="3" t="str">
        <f>"Feiwel and friends"</f>
        <v>Feiwel and friends</v>
      </c>
      <c r="H1908" s="2" t="str">
        <f>"2020"</f>
        <v>2020</v>
      </c>
      <c r="I1908" s="3" t="str">
        <f>""</f>
        <v/>
      </c>
    </row>
    <row r="1909" spans="1:9" x14ac:dyDescent="0.3">
      <c r="A1909" s="2">
        <v>1908</v>
      </c>
      <c r="B1909" s="4" t="s">
        <v>31</v>
      </c>
      <c r="C1909" s="3" t="str">
        <f>"TFC000003740"</f>
        <v>TFC000003740</v>
      </c>
      <c r="D1909" s="3" t="str">
        <f>"F800-21-0481-(AR 3.0)"</f>
        <v>F800-21-0481-(AR 3.0)</v>
      </c>
      <c r="E1909" s="3" t="str">
        <f>"(The)school carnival from the black lagoon"</f>
        <v>(The)school carnival from the black lagoon</v>
      </c>
      <c r="F1909" s="3" t="str">
        <f>"by Mike Thaler ; illustraed by Jared lee"</f>
        <v>by Mike Thaler ; illustraed by Jared lee</v>
      </c>
      <c r="G1909" s="3" t="str">
        <f>"Scholastic"</f>
        <v>Scholastic</v>
      </c>
      <c r="H1909" s="2" t="str">
        <f>"2007"</f>
        <v>2007</v>
      </c>
      <c r="I1909" s="3" t="str">
        <f>""</f>
        <v/>
      </c>
    </row>
    <row r="1910" spans="1:9" x14ac:dyDescent="0.3">
      <c r="A1910" s="2">
        <v>1909</v>
      </c>
      <c r="B1910" s="4" t="s">
        <v>31</v>
      </c>
      <c r="C1910" s="3" t="str">
        <f>"TFC000003763"</f>
        <v>TFC000003763</v>
      </c>
      <c r="D1910" s="3" t="str">
        <f>"F800-21-0482-(AR 3.0)"</f>
        <v>F800-21-0482-(AR 3.0)</v>
      </c>
      <c r="E1910" s="3" t="str">
        <f>"(The)reading challenge from the black lagoon"</f>
        <v>(The)reading challenge from the black lagoon</v>
      </c>
      <c r="F1910" s="3" t="str">
        <f>"by Mike Thaler ; illustraed by Jared lee"</f>
        <v>by Mike Thaler ; illustraed by Jared lee</v>
      </c>
      <c r="G1910" s="3" t="str">
        <f>"Scholastic"</f>
        <v>Scholastic</v>
      </c>
      <c r="H1910" s="2" t="str">
        <f>"2015"</f>
        <v>2015</v>
      </c>
      <c r="I1910" s="3" t="str">
        <f>""</f>
        <v/>
      </c>
    </row>
    <row r="1911" spans="1:9" x14ac:dyDescent="0.3">
      <c r="A1911" s="2">
        <v>1910</v>
      </c>
      <c r="B1911" s="4" t="s">
        <v>31</v>
      </c>
      <c r="C1911" s="3" t="str">
        <f>"TFC000003793"</f>
        <v>TFC000003793</v>
      </c>
      <c r="D1911" s="3" t="str">
        <f>"F800-21-0484-(AR 3.0)"</f>
        <v>F800-21-0484-(AR 3.0)</v>
      </c>
      <c r="E1911" s="3" t="str">
        <f>"Froggy builds a snowman"</f>
        <v>Froggy builds a snowman</v>
      </c>
      <c r="F1911" s="3" t="str">
        <f>"by Jonathan London ; illustrated by Frank Remkiewicz"</f>
        <v>by Jonathan London ; illustrated by Frank Remkiewicz</v>
      </c>
      <c r="G1911" s="3" t="str">
        <f>"Viking"</f>
        <v>Viking</v>
      </c>
      <c r="H1911" s="2" t="str">
        <f>"2020"</f>
        <v>2020</v>
      </c>
      <c r="I1911" s="3" t="str">
        <f>""</f>
        <v/>
      </c>
    </row>
    <row r="1912" spans="1:9" x14ac:dyDescent="0.3">
      <c r="A1912" s="2">
        <v>1911</v>
      </c>
      <c r="B1912" s="4" t="s">
        <v>31</v>
      </c>
      <c r="C1912" s="3" t="str">
        <f>"TFC000003800"</f>
        <v>TFC000003800</v>
      </c>
      <c r="D1912" s="3" t="str">
        <f>"F800-21-0503-(AR 3.0)=2"</f>
        <v>F800-21-0503-(AR 3.0)=2</v>
      </c>
      <c r="E1912" s="3" t="str">
        <f>"(The)Princess in black and the takes a vacation"</f>
        <v>(The)Princess in black and the takes a vacation</v>
      </c>
      <c r="F1912" s="3" t="str">
        <f>"by Shannon Hale, Dean Hale, illustrated by LeUyen Pham"</f>
        <v>by Shannon Hale, Dean Hale, illustrated by LeUyen Pham</v>
      </c>
      <c r="G1912" s="3" t="str">
        <f>"Candlewick"</f>
        <v>Candlewick</v>
      </c>
      <c r="H1912" s="2" t="str">
        <f>"2016"</f>
        <v>2016</v>
      </c>
      <c r="I1912" s="3" t="str">
        <f>""</f>
        <v/>
      </c>
    </row>
    <row r="1913" spans="1:9" x14ac:dyDescent="0.3">
      <c r="A1913" s="2">
        <v>1912</v>
      </c>
      <c r="B1913" s="4" t="s">
        <v>31</v>
      </c>
      <c r="C1913" s="3" t="str">
        <f>"TFC000003949"</f>
        <v>TFC000003949</v>
      </c>
      <c r="D1913" s="3" t="str">
        <f>"F800-21-0488-(AR 3.0)"</f>
        <v>F800-21-0488-(AR 3.0)</v>
      </c>
      <c r="E1913" s="3" t="str">
        <f>"Head in the Clouds"</f>
        <v>Head in the Clouds</v>
      </c>
      <c r="F1913" s="3" t="str">
        <f>"by Abby Hanlon"</f>
        <v>by Abby Hanlon</v>
      </c>
      <c r="G1913" s="3" t="str">
        <f>"Puffin"</f>
        <v>Puffin</v>
      </c>
      <c r="H1913" s="2" t="str">
        <f>"2019"</f>
        <v>2019</v>
      </c>
      <c r="I1913" s="3" t="str">
        <f>""</f>
        <v/>
      </c>
    </row>
    <row r="1914" spans="1:9" x14ac:dyDescent="0.3">
      <c r="A1914" s="2">
        <v>1913</v>
      </c>
      <c r="B1914" s="4" t="s">
        <v>31</v>
      </c>
      <c r="C1914" s="3" t="str">
        <f>"TFC000003993"</f>
        <v>TFC000003993</v>
      </c>
      <c r="D1914" s="3" t="str">
        <f>"F400-21-0462-(AR 3.0)"</f>
        <v>F400-21-0462-(AR 3.0)</v>
      </c>
      <c r="E1914" s="3" t="str">
        <f>"Quokkas"</f>
        <v>Quokkas</v>
      </c>
      <c r="F1914" s="3" t="str">
        <f>"by Jaclyn Jaycox"</f>
        <v>by Jaclyn Jaycox</v>
      </c>
      <c r="G1914" s="3" t="str">
        <f>"Pebble"</f>
        <v>Pebble</v>
      </c>
      <c r="H1914" s="2" t="str">
        <f>"2022"</f>
        <v>2022</v>
      </c>
      <c r="I1914" s="3" t="str">
        <f>""</f>
        <v/>
      </c>
    </row>
    <row r="1915" spans="1:9" x14ac:dyDescent="0.3">
      <c r="A1915" s="2">
        <v>1914</v>
      </c>
      <c r="B1915" s="4" t="s">
        <v>31</v>
      </c>
      <c r="C1915" s="3" t="str">
        <f>"TFC000003994"</f>
        <v>TFC000003994</v>
      </c>
      <c r="D1915" s="3" t="str">
        <f>"F800-21-0489-(AR 3.0)"</f>
        <v>F800-21-0489-(AR 3.0)</v>
      </c>
      <c r="E1915" s="3" t="str">
        <f>"Mindful Mr. Sloth"</f>
        <v>Mindful Mr. Sloth</v>
      </c>
      <c r="F1915" s="3" t="str">
        <f>"by Katy Hudson"</f>
        <v>by Katy Hudson</v>
      </c>
      <c r="G1915" s="3" t="str">
        <f>"Capstone Editions"</f>
        <v>Capstone Editions</v>
      </c>
      <c r="H1915" s="2" t="str">
        <f>"2021"</f>
        <v>2021</v>
      </c>
      <c r="I1915" s="3" t="str">
        <f>""</f>
        <v/>
      </c>
    </row>
    <row r="1916" spans="1:9" x14ac:dyDescent="0.3">
      <c r="A1916" s="2">
        <v>1915</v>
      </c>
      <c r="B1916" s="4" t="s">
        <v>31</v>
      </c>
      <c r="C1916" s="3" t="str">
        <f>"TFC000003995"</f>
        <v>TFC000003995</v>
      </c>
      <c r="D1916" s="3" t="str">
        <f>"F800-21-0490-(AR 3.0)"</f>
        <v>F800-21-0490-(AR 3.0)</v>
      </c>
      <c r="E1916" s="3" t="str">
        <f>"I am the storm"</f>
        <v>I am the storm</v>
      </c>
      <c r="F1916" s="3" t="str">
        <f>"by Jane Yolen, Heidi E. Y. Stemple, illustrated by Kristen Howdeshell, Kevin Howdeshell"</f>
        <v>by Jane Yolen, Heidi E. Y. Stemple, illustrated by Kristen Howdeshell, Kevin Howdeshell</v>
      </c>
      <c r="G1916" s="3" t="str">
        <f>"Rise"</f>
        <v>Rise</v>
      </c>
      <c r="H1916" s="2" t="str">
        <f>"2020"</f>
        <v>2020</v>
      </c>
      <c r="I1916" s="3" t="str">
        <f>""</f>
        <v/>
      </c>
    </row>
    <row r="1917" spans="1:9" x14ac:dyDescent="0.3">
      <c r="A1917" s="2">
        <v>1916</v>
      </c>
      <c r="B1917" s="4" t="s">
        <v>31</v>
      </c>
      <c r="C1917" s="3" t="str">
        <f>"TFC000003997"</f>
        <v>TFC000003997</v>
      </c>
      <c r="D1917" s="3" t="str">
        <f>"F800-21-0492-(AR 3.0)"</f>
        <v>F800-21-0492-(AR 3.0)</v>
      </c>
      <c r="E1917" s="3" t="str">
        <f>"Spinderella"</f>
        <v>Spinderella</v>
      </c>
      <c r="F1917" s="3" t="str">
        <f>"Julia Donaldson, illustrated by Sebastien Braun"</f>
        <v>Julia Donaldson, illustrated by Sebastien Braun</v>
      </c>
      <c r="G1917" s="3" t="str">
        <f>"Egmont"</f>
        <v>Egmont</v>
      </c>
      <c r="H1917" s="2" t="str">
        <f>"2018"</f>
        <v>2018</v>
      </c>
      <c r="I1917" s="3" t="str">
        <f>""</f>
        <v/>
      </c>
    </row>
    <row r="1918" spans="1:9" x14ac:dyDescent="0.3">
      <c r="A1918" s="2">
        <v>1917</v>
      </c>
      <c r="B1918" s="4" t="s">
        <v>31</v>
      </c>
      <c r="C1918" s="3" t="str">
        <f>"TFC000003998"</f>
        <v>TFC000003998</v>
      </c>
      <c r="D1918" s="3" t="str">
        <f>"F800-21-0493-(AR 3.0)"</f>
        <v>F800-21-0493-(AR 3.0)</v>
      </c>
      <c r="E1918" s="3" t="str">
        <f>"Rules of the house"</f>
        <v>Rules of the house</v>
      </c>
      <c r="F1918" s="3" t="str">
        <f>"by Mac Barnett, illustrated by Matt Myers"</f>
        <v>by Mac Barnett, illustrated by Matt Myers</v>
      </c>
      <c r="G1918" s="3" t="str">
        <f>"Disney Pr"</f>
        <v>Disney Pr</v>
      </c>
      <c r="H1918" s="2" t="str">
        <f>"2016"</f>
        <v>2016</v>
      </c>
      <c r="I1918" s="3" t="str">
        <f>""</f>
        <v/>
      </c>
    </row>
    <row r="1919" spans="1:9" x14ac:dyDescent="0.3">
      <c r="A1919" s="2">
        <v>1918</v>
      </c>
      <c r="B1919" s="4" t="s">
        <v>31</v>
      </c>
      <c r="C1919" s="3" t="str">
        <f>"TFC000003999"</f>
        <v>TFC000003999</v>
      </c>
      <c r="D1919" s="3" t="str">
        <f>"F800-21-0494-(AR 3.0)"</f>
        <v>F800-21-0494-(AR 3.0)</v>
      </c>
      <c r="E1919" s="3" t="str">
        <f>"(The)Berenstain Bears and the Nutcracker"</f>
        <v>(The)Berenstain Bears and the Nutcracker</v>
      </c>
      <c r="F1919" s="3" t="str">
        <f>"by Jan Berenstain, Mike Berenstain"</f>
        <v>by Jan Berenstain, Mike Berenstain</v>
      </c>
      <c r="G1919" s="3" t="str">
        <f>"HarperFestival"</f>
        <v>HarperFestival</v>
      </c>
      <c r="H1919" s="2" t="str">
        <f>"2011"</f>
        <v>2011</v>
      </c>
      <c r="I1919" s="3" t="str">
        <f>""</f>
        <v/>
      </c>
    </row>
    <row r="1920" spans="1:9" x14ac:dyDescent="0.3">
      <c r="A1920" s="2">
        <v>1919</v>
      </c>
      <c r="B1920" s="4" t="s">
        <v>31</v>
      </c>
      <c r="C1920" s="3" t="str">
        <f>"TFC000004160"</f>
        <v>TFC000004160</v>
      </c>
      <c r="D1920" s="3" t="str">
        <f>"F800-21-0498-(AR 3.0)"</f>
        <v>F800-21-0498-(AR 3.0)</v>
      </c>
      <c r="E1920" s="3" t="str">
        <f>"(The)prince and the dressmaker"</f>
        <v>(The)prince and the dressmaker</v>
      </c>
      <c r="F1920" s="3" t="str">
        <f>"by Jen Wang"</f>
        <v>by Jen Wang</v>
      </c>
      <c r="G1920" s="3" t="str">
        <f>"First Second"</f>
        <v>First Second</v>
      </c>
      <c r="H1920" s="2" t="str">
        <f>"2018"</f>
        <v>2018</v>
      </c>
      <c r="I1920" s="3" t="str">
        <f>""</f>
        <v/>
      </c>
    </row>
    <row r="1921" spans="1:9" x14ac:dyDescent="0.3">
      <c r="A1921" s="2">
        <v>1920</v>
      </c>
      <c r="B1921" s="4" t="s">
        <v>31</v>
      </c>
      <c r="C1921" s="3" t="str">
        <f>"TFC000004161"</f>
        <v>TFC000004161</v>
      </c>
      <c r="D1921" s="3" t="str">
        <f>"F800-21-0499-(AR 3.0)"</f>
        <v>F800-21-0499-(AR 3.0)</v>
      </c>
      <c r="E1921" s="3" t="str">
        <f>"Positively Izzy"</f>
        <v>Positively Izzy</v>
      </c>
      <c r="F1921" s="3" t="str">
        <f>"by Terri Libenson"</f>
        <v>by Terri Libenson</v>
      </c>
      <c r="G1921" s="3" t="str">
        <f>"Balzer &amp; Bray/Harperteen"</f>
        <v>Balzer &amp; Bray/Harperteen</v>
      </c>
      <c r="H1921" s="2" t="str">
        <f>"2018"</f>
        <v>2018</v>
      </c>
      <c r="I1921" s="3" t="str">
        <f>""</f>
        <v/>
      </c>
    </row>
    <row r="1922" spans="1:9" x14ac:dyDescent="0.3">
      <c r="A1922" s="2">
        <v>1921</v>
      </c>
      <c r="B1922" s="4" t="s">
        <v>31</v>
      </c>
      <c r="C1922" s="3" t="str">
        <f>"TFC000004409"</f>
        <v>TFC000004409</v>
      </c>
      <c r="D1922" s="3" t="str">
        <f>"F800-22-0218-(AR 3.0)"</f>
        <v>F800-22-0218-(AR 3.0)</v>
      </c>
      <c r="E1922" s="3" t="str">
        <f>"Aqualicious"</f>
        <v>Aqualicious</v>
      </c>
      <c r="F1922" s="3" t="str">
        <f>"by Victoria Kann"</f>
        <v>by Victoria Kann</v>
      </c>
      <c r="G1922" s="3" t="str">
        <f>"Harpercollins"</f>
        <v>Harpercollins</v>
      </c>
      <c r="H1922" s="2" t="str">
        <f>"2015"</f>
        <v>2015</v>
      </c>
      <c r="I1922" s="3" t="str">
        <f>""</f>
        <v/>
      </c>
    </row>
    <row r="1923" spans="1:9" x14ac:dyDescent="0.3">
      <c r="A1923" s="2">
        <v>1922</v>
      </c>
      <c r="B1923" s="4" t="s">
        <v>31</v>
      </c>
      <c r="C1923" s="3" t="str">
        <f>"TFC000004919"</f>
        <v>TFC000004919</v>
      </c>
      <c r="D1923" s="3" t="str">
        <f>"F800-23-0023-(AR3.0)"</f>
        <v>F800-23-0023-(AR3.0)</v>
      </c>
      <c r="E1923" s="3" t="str">
        <f>"Henry's Freedom Box"</f>
        <v>Henry's Freedom Box</v>
      </c>
      <c r="F1923" s="3" t="str">
        <f>"by Ellen Levine, illustrated by Kadir Nelson"</f>
        <v>by Ellen Levine, illustrated by Kadir Nelson</v>
      </c>
      <c r="G1923" s="3" t="str">
        <f>"Scholastic"</f>
        <v>Scholastic</v>
      </c>
      <c r="H1923" s="2" t="str">
        <f>"2007"</f>
        <v>2007</v>
      </c>
      <c r="I1923" s="3" t="str">
        <f>""</f>
        <v/>
      </c>
    </row>
    <row r="1924" spans="1:9" x14ac:dyDescent="0.3">
      <c r="A1924" s="2">
        <v>1923</v>
      </c>
      <c r="B1924" s="4" t="s">
        <v>31</v>
      </c>
      <c r="C1924" s="3" t="str">
        <f>"TFC000004448"</f>
        <v>TFC000004448</v>
      </c>
      <c r="D1924" s="3" t="str">
        <f>"F800-22-0257-(AR3.0)"</f>
        <v>F800-22-0257-(AR3.0)</v>
      </c>
      <c r="E1924" s="3" t="str">
        <f>"(A)girl like me"</f>
        <v>(A)girl like me</v>
      </c>
      <c r="F1924" s="3" t="str">
        <f>"by Angela Johnson, illustrations by Nina Crews."</f>
        <v>by Angela Johnson, illustrations by Nina Crews.</v>
      </c>
      <c r="G1924" s="3" t="str">
        <f>"Millbrook Press"</f>
        <v>Millbrook Press</v>
      </c>
      <c r="H1924" s="2" t="str">
        <f>"2020."</f>
        <v>2020.</v>
      </c>
      <c r="I1924" s="3" t="str">
        <f>""</f>
        <v/>
      </c>
    </row>
    <row r="1925" spans="1:9" x14ac:dyDescent="0.3">
      <c r="A1925" s="2">
        <v>1924</v>
      </c>
      <c r="B1925" s="4" t="s">
        <v>31</v>
      </c>
      <c r="C1925" s="3" t="str">
        <f>"TFC000004449"</f>
        <v>TFC000004449</v>
      </c>
      <c r="D1925" s="3" t="str">
        <f>"F800-22-0258-(AR3.0)"</f>
        <v>F800-22-0258-(AR3.0)</v>
      </c>
      <c r="E1925" s="3" t="str">
        <f>"Hurricane"</f>
        <v>Hurricane</v>
      </c>
      <c r="F1925" s="3" t="str">
        <f>"by John Rocco"</f>
        <v>by John Rocco</v>
      </c>
      <c r="G1925" s="3" t="str">
        <f>"Little, Brown Books for Young Readers"</f>
        <v>Little, Brown Books for Young Readers</v>
      </c>
      <c r="H1925" s="2" t="str">
        <f>"2021"</f>
        <v>2021</v>
      </c>
      <c r="I1925" s="3" t="str">
        <f>""</f>
        <v/>
      </c>
    </row>
    <row r="1926" spans="1:9" x14ac:dyDescent="0.3">
      <c r="A1926" s="2">
        <v>1925</v>
      </c>
      <c r="B1926" s="4" t="s">
        <v>31</v>
      </c>
      <c r="C1926" s="3" t="str">
        <f>"TFC000004450"</f>
        <v>TFC000004450</v>
      </c>
      <c r="D1926" s="3" t="str">
        <f>"F800-22-0259-(AR3.0)"</f>
        <v>F800-22-0259-(AR3.0)</v>
      </c>
      <c r="E1926" s="3" t="str">
        <f>"Libby Loves Science : Mix and Measure"</f>
        <v>Libby Loves Science : Mix and Measure</v>
      </c>
      <c r="F1926" s="3" t="str">
        <f>"by Kimberly Derting, Joelle Murray"</f>
        <v>by Kimberly Derting, Joelle Murray</v>
      </c>
      <c r="G1926" s="3" t="str">
        <f>"Greenwillow Books"</f>
        <v>Greenwillow Books</v>
      </c>
      <c r="H1926" s="2" t="str">
        <f>"2021"</f>
        <v>2021</v>
      </c>
      <c r="I1926" s="3" t="str">
        <f>""</f>
        <v/>
      </c>
    </row>
    <row r="1927" spans="1:9" x14ac:dyDescent="0.3">
      <c r="A1927" s="2">
        <v>1926</v>
      </c>
      <c r="B1927" s="4" t="s">
        <v>31</v>
      </c>
      <c r="C1927" s="3" t="str">
        <f>"TFC000004451"</f>
        <v>TFC000004451</v>
      </c>
      <c r="D1927" s="3" t="str">
        <f>"F800-22-0260-(AR3.0)"</f>
        <v>F800-22-0260-(AR3.0)</v>
      </c>
      <c r="E1927" s="3" t="str">
        <f>"(The)magic day"</f>
        <v>(The)magic day</v>
      </c>
      <c r="F1927" s="3" t="str">
        <f>"by Calliope Glass, illustrated by Hollie Mengert"</f>
        <v>by Calliope Glass, illustrated by Hollie Mengert</v>
      </c>
      <c r="G1927" s="3" t="str">
        <f>"Harper Chapters, an imprint of HarperCollinsPublishers"</f>
        <v>Harper Chapters, an imprint of HarperCollinsPublishers</v>
      </c>
      <c r="H1927" s="2" t="str">
        <f>"2020"</f>
        <v>2020</v>
      </c>
      <c r="I1927" s="3" t="str">
        <f>""</f>
        <v/>
      </c>
    </row>
    <row r="1928" spans="1:9" x14ac:dyDescent="0.3">
      <c r="A1928" s="2">
        <v>1927</v>
      </c>
      <c r="B1928" s="4" t="s">
        <v>31</v>
      </c>
      <c r="C1928" s="3" t="str">
        <f>"TFC000004452"</f>
        <v>TFC000004452</v>
      </c>
      <c r="D1928" s="3" t="str">
        <f>"F800-22-0261-(AR3.0)"</f>
        <v>F800-22-0261-(AR3.0)</v>
      </c>
      <c r="E1928" s="3" t="str">
        <f>"A Postcad from Costa Rica"</f>
        <v>A Postcad from Costa Rica</v>
      </c>
      <c r="F1928" s="3" t="str">
        <f>"written by Laurie Friedman, illustrated by Roberta Ravasio"</f>
        <v>written by Laurie Friedman, illustrated by Roberta Ravasio</v>
      </c>
      <c r="G1928" s="3" t="str">
        <f>"CrabtreePublishing"</f>
        <v>CrabtreePublishing</v>
      </c>
      <c r="H1928" s="2" t="str">
        <f>"2022"</f>
        <v>2022</v>
      </c>
      <c r="I1928" s="3" t="str">
        <f>""</f>
        <v/>
      </c>
    </row>
    <row r="1929" spans="1:9" x14ac:dyDescent="0.3">
      <c r="A1929" s="2">
        <v>1928</v>
      </c>
      <c r="B1929" s="4" t="s">
        <v>31</v>
      </c>
      <c r="C1929" s="3" t="str">
        <f>"TFC000004453"</f>
        <v>TFC000004453</v>
      </c>
      <c r="D1929" s="3" t="str">
        <f>"F800-22-0262-(AR3.0)"</f>
        <v>F800-22-0262-(AR3.0)</v>
      </c>
      <c r="E1929" s="3" t="str">
        <f>"A Postcad from Italy"</f>
        <v>A Postcad from Italy</v>
      </c>
      <c r="F1929" s="3" t="str">
        <f>"written by Laurie Friedman, illustrated by Roberta Ravasio"</f>
        <v>written by Laurie Friedman, illustrated by Roberta Ravasio</v>
      </c>
      <c r="G1929" s="3" t="str">
        <f>"CrabtreePublishing"</f>
        <v>CrabtreePublishing</v>
      </c>
      <c r="H1929" s="2" t="str">
        <f>"2022"</f>
        <v>2022</v>
      </c>
      <c r="I1929" s="3" t="str">
        <f>""</f>
        <v/>
      </c>
    </row>
    <row r="1930" spans="1:9" x14ac:dyDescent="0.3">
      <c r="A1930" s="2">
        <v>1929</v>
      </c>
      <c r="B1930" s="4" t="s">
        <v>31</v>
      </c>
      <c r="C1930" s="3" t="str">
        <f>"TFC000004454"</f>
        <v>TFC000004454</v>
      </c>
      <c r="D1930" s="3" t="str">
        <f>"F800-22-0263-(AR3.0)"</f>
        <v>F800-22-0263-(AR3.0)</v>
      </c>
      <c r="E1930" s="3" t="str">
        <f>"Turtle and Tortoise Are Not Friends"</f>
        <v>Turtle and Tortoise Are Not Friends</v>
      </c>
      <c r="F1930" s="3" t="str">
        <f>"by Mike Reiss, illustrated by Ashley Spires"</f>
        <v>by Mike Reiss, illustrated by Ashley Spires</v>
      </c>
      <c r="G1930" s="3" t="str">
        <f>"Harper"</f>
        <v>Harper</v>
      </c>
      <c r="H1930" s="2" t="str">
        <f>"2019"</f>
        <v>2019</v>
      </c>
      <c r="I1930" s="3" t="str">
        <f>""</f>
        <v/>
      </c>
    </row>
    <row r="1931" spans="1:9" x14ac:dyDescent="0.3">
      <c r="A1931" s="2">
        <v>1930</v>
      </c>
      <c r="B1931" s="4" t="s">
        <v>31</v>
      </c>
      <c r="C1931" s="3" t="str">
        <f>"TFC000004684"</f>
        <v>TFC000004684</v>
      </c>
      <c r="D1931" s="3" t="str">
        <f>"F800-22-0493-(AR3.0)"</f>
        <v>F800-22-0493-(AR3.0)</v>
      </c>
      <c r="E1931" s="3" t="str">
        <f>"(The)Creepy Case Files of Margo Maloo, The Tangled Web"</f>
        <v>(The)Creepy Case Files of Margo Maloo, The Tangled Web</v>
      </c>
      <c r="F1931" s="3" t="str">
        <f>"by Drew Weing"</f>
        <v>by Drew Weing</v>
      </c>
      <c r="G1931" s="3" t="str">
        <f>"First Second"</f>
        <v>First Second</v>
      </c>
      <c r="H1931" s="2" t="str">
        <f>"2021"</f>
        <v>2021</v>
      </c>
      <c r="I1931" s="3" t="str">
        <f>""</f>
        <v/>
      </c>
    </row>
    <row r="1932" spans="1:9" x14ac:dyDescent="0.3">
      <c r="A1932" s="2">
        <v>1931</v>
      </c>
      <c r="B1932" s="4" t="s">
        <v>31</v>
      </c>
      <c r="C1932" s="3" t="str">
        <f>"TFC000004685"</f>
        <v>TFC000004685</v>
      </c>
      <c r="D1932" s="3" t="str">
        <f>"F800-22-0494-(AR3.0)"</f>
        <v>F800-22-0494-(AR3.0)</v>
      </c>
      <c r="E1932" s="3" t="str">
        <f>"Kingdom Caper"</f>
        <v>Kingdom Caper</v>
      </c>
      <c r="F1932" s="3" t="str">
        <f>"by Brett Bean"</f>
        <v>by Brett Bean</v>
      </c>
      <c r="G1932" s="3" t="str">
        <f>"Penguin Workshop"</f>
        <v>Penguin Workshop</v>
      </c>
      <c r="H1932" s="2" t="str">
        <f>"2020"</f>
        <v>2020</v>
      </c>
      <c r="I1932" s="3" t="str">
        <f>""</f>
        <v/>
      </c>
    </row>
    <row r="1933" spans="1:9" x14ac:dyDescent="0.3">
      <c r="A1933" s="2">
        <v>1932</v>
      </c>
      <c r="B1933" s="4" t="s">
        <v>31</v>
      </c>
      <c r="C1933" s="3" t="str">
        <f>"TFC000004820"</f>
        <v>TFC000004820</v>
      </c>
      <c r="D1933" s="3" t="str">
        <f>"F800-22-0557-(AR3.0)"</f>
        <v>F800-22-0557-(AR3.0)</v>
      </c>
      <c r="E1933" s="3" t="str">
        <f>"Measuring up"</f>
        <v>Measuring up</v>
      </c>
      <c r="F1933" s="3" t="str">
        <f>"by Lily LaMotte, Ann Xu, colors by Sunmi"</f>
        <v>by Lily LaMotte, Ann Xu, colors by Sunmi</v>
      </c>
      <c r="G1933" s="3" t="str">
        <f>"HarperAlley"</f>
        <v>HarperAlley</v>
      </c>
      <c r="H1933" s="2" t="str">
        <f>"2020"</f>
        <v>2020</v>
      </c>
      <c r="I1933" s="3" t="str">
        <f>""</f>
        <v/>
      </c>
    </row>
    <row r="1934" spans="1:9" x14ac:dyDescent="0.3">
      <c r="A1934" s="2">
        <v>1933</v>
      </c>
      <c r="B1934" s="4" t="s">
        <v>31</v>
      </c>
      <c r="C1934" s="3" t="str">
        <f>"TFC000004909"</f>
        <v>TFC000004909</v>
      </c>
      <c r="D1934" s="3" t="str">
        <f>"F800-23-0013-(AR3.0)"</f>
        <v>F800-23-0013-(AR3.0)</v>
      </c>
      <c r="E1934" s="3" t="str">
        <f>"(The)Hidden Kingdom : the graphic novel. 3"</f>
        <v>(The)Hidden Kingdom : the graphic novel. 3</v>
      </c>
      <c r="F1934" s="3" t="str">
        <f>"by Tui T. Sutherland"</f>
        <v>by Tui T. Sutherland</v>
      </c>
      <c r="G1934" s="3" t="str">
        <f>"Graphix"</f>
        <v>Graphix</v>
      </c>
      <c r="H1934" s="2" t="str">
        <f>"2019"</f>
        <v>2019</v>
      </c>
      <c r="I1934" s="3" t="str">
        <f>""</f>
        <v/>
      </c>
    </row>
    <row r="1935" spans="1:9" x14ac:dyDescent="0.3">
      <c r="A1935" s="2">
        <v>1934</v>
      </c>
      <c r="B1935" s="4" t="s">
        <v>31</v>
      </c>
      <c r="C1935" s="3" t="str">
        <f>"TFC000004904"</f>
        <v>TFC000004904</v>
      </c>
      <c r="D1935" s="3" t="str">
        <f>"F800-23-0008-(AR3.0)"</f>
        <v>F800-23-0008-(AR3.0)</v>
      </c>
      <c r="E1935" s="3" t="str">
        <f>"If you come to earth"</f>
        <v>If you come to earth</v>
      </c>
      <c r="F1935" s="3" t="str">
        <f>"by Sophie Blackall"</f>
        <v>by Sophie Blackall</v>
      </c>
      <c r="G1935" s="3" t="str">
        <f>"Chronicle Book"</f>
        <v>Chronicle Book</v>
      </c>
      <c r="H1935" s="2" t="str">
        <f>"2020"</f>
        <v>2020</v>
      </c>
      <c r="I1935" s="3" t="str">
        <f>""</f>
        <v/>
      </c>
    </row>
    <row r="1936" spans="1:9" x14ac:dyDescent="0.3">
      <c r="A1936" s="2">
        <v>1935</v>
      </c>
      <c r="B1936" s="4" t="s">
        <v>31</v>
      </c>
      <c r="C1936" s="3" t="str">
        <f>"TFC000004058"</f>
        <v>TFC000004058</v>
      </c>
      <c r="D1936" s="3" t="str">
        <f>"F800-21-0495-1(AR 3.0)"</f>
        <v>F800-21-0495-1(AR 3.0)</v>
      </c>
      <c r="E1936" s="3" t="str">
        <f>"Jop and Blip Wanna Know. #1, Can You Hear a Penguin Fart on Mars? And Other Excellent Questions"</f>
        <v>Jop and Blip Wanna Know. #1, Can You Hear a Penguin Fart on Mars? And Other Excellent Questions</v>
      </c>
      <c r="F1936" s="3" t="str">
        <f>"by Jim Benton"</f>
        <v>by Jim Benton</v>
      </c>
      <c r="G1936" s="3" t="str">
        <f>"Harperalley"</f>
        <v>Harperalley</v>
      </c>
      <c r="H1936" s="2" t="str">
        <f>"2021"</f>
        <v>2021</v>
      </c>
      <c r="I1936" s="3" t="str">
        <f>""</f>
        <v/>
      </c>
    </row>
    <row r="1937" spans="1:9" x14ac:dyDescent="0.3">
      <c r="A1937" s="2">
        <v>1936</v>
      </c>
      <c r="B1937" s="4" t="s">
        <v>31</v>
      </c>
      <c r="C1937" s="3" t="str">
        <f>"TFC000004114"</f>
        <v>TFC000004114</v>
      </c>
      <c r="D1937" s="3" t="str">
        <f>"F800-21-0496-1(AR 3.0)"</f>
        <v>F800-21-0496-1(AR 3.0)</v>
      </c>
      <c r="E1937" s="3" t="str">
        <f>"Missile Mouse. 1, (The)Star Crusher"</f>
        <v>Missile Mouse. 1, (The)Star Crusher</v>
      </c>
      <c r="F1937" s="3" t="str">
        <f>"by Jake Parker"</f>
        <v>by Jake Parker</v>
      </c>
      <c r="G1937" s="3" t="str">
        <f>"Graphix"</f>
        <v>Graphix</v>
      </c>
      <c r="H1937" s="2" t="str">
        <f>"2010"</f>
        <v>2010</v>
      </c>
      <c r="I1937" s="3" t="str">
        <f>""</f>
        <v/>
      </c>
    </row>
    <row r="1938" spans="1:9" x14ac:dyDescent="0.3">
      <c r="A1938" s="2">
        <v>1937</v>
      </c>
      <c r="B1938" s="4" t="s">
        <v>31</v>
      </c>
      <c r="C1938" s="3" t="str">
        <f>"TFC000004159"</f>
        <v>TFC000004159</v>
      </c>
      <c r="D1938" s="3" t="str">
        <f>"F800-21-0497-1(AR 3.0)"</f>
        <v>F800-21-0497-1(AR 3.0)</v>
      </c>
      <c r="E1938" s="3" t="str">
        <f>"Making Friends. Vol.1"</f>
        <v>Making Friends. Vol.1</v>
      </c>
      <c r="F1938" s="3" t="str">
        <f>"by Kristen Gudsnuk"</f>
        <v>by Kristen Gudsnuk</v>
      </c>
      <c r="G1938" s="3" t="str">
        <f>"Graphix:Scholastic;"</f>
        <v>Graphix:Scholastic;</v>
      </c>
      <c r="H1938" s="2" t="str">
        <f>"2018"</f>
        <v>2018</v>
      </c>
      <c r="I1938" s="3" t="str">
        <f>""</f>
        <v/>
      </c>
    </row>
    <row r="1939" spans="1:9" x14ac:dyDescent="0.3">
      <c r="A1939" s="2">
        <v>1938</v>
      </c>
      <c r="B1939" s="4" t="s">
        <v>31</v>
      </c>
      <c r="C1939" s="3" t="str">
        <f>"TFC000003996"</f>
        <v>TFC000003996</v>
      </c>
      <c r="D1939" s="3" t="str">
        <f>"F800-21-0491-10(AR 3.0)"</f>
        <v>F800-21-0491-10(AR 3.0)</v>
      </c>
      <c r="E1939" s="3" t="str">
        <f>"Judy Moody. 10, Judy Moody and the not bummer summer"</f>
        <v>Judy Moody. 10, Judy Moody and the not bummer summer</v>
      </c>
      <c r="F1939" s="3" t="str">
        <f>"by Megan McDonald, illustrations by Peter H. Reynolds"</f>
        <v>by Megan McDonald, illustrations by Peter H. Reynolds</v>
      </c>
      <c r="G1939" s="3" t="str">
        <f>"Candlewick Press"</f>
        <v>Candlewick Press</v>
      </c>
      <c r="H1939" s="2" t="str">
        <f>"2012"</f>
        <v>2012</v>
      </c>
      <c r="I1939" s="3" t="str">
        <f>""</f>
        <v/>
      </c>
    </row>
    <row r="1940" spans="1:9" x14ac:dyDescent="0.3">
      <c r="A1940" s="2">
        <v>1939</v>
      </c>
      <c r="B1940" s="5">
        <v>3</v>
      </c>
      <c r="C1940" s="3" t="str">
        <f>"TFC000003867"</f>
        <v>TFC000003867</v>
      </c>
      <c r="D1940" s="3" t="str">
        <f>"F800-21-0487-13(AR 3.0)"</f>
        <v>F800-21-0487-13(AR 3.0)</v>
      </c>
      <c r="E1940" s="3" t="str">
        <f>"Goosebumps horrorland. 13, When the Ghost Dog Howls"</f>
        <v>Goosebumps horrorland. 13, When the Ghost Dog Howls</v>
      </c>
      <c r="F1940" s="3" t="str">
        <f>"by R. L. Stine"</f>
        <v>by R. L. Stine</v>
      </c>
      <c r="G1940" s="3" t="str">
        <f>"Scholastic"</f>
        <v>Scholastic</v>
      </c>
      <c r="H1940" s="2" t="str">
        <f>"2010"</f>
        <v>2010</v>
      </c>
      <c r="I1940" s="3" t="str">
        <f>""</f>
        <v/>
      </c>
    </row>
    <row r="1941" spans="1:9" x14ac:dyDescent="0.3">
      <c r="A1941" s="2">
        <v>1940</v>
      </c>
      <c r="B1941" s="5">
        <v>3</v>
      </c>
      <c r="C1941" s="3" t="str">
        <f>"TFC000003866"</f>
        <v>TFC000003866</v>
      </c>
      <c r="D1941" s="3" t="str">
        <f>"F800-21-0486-16(AR 3.0)"</f>
        <v>F800-21-0486-16(AR 3.0)</v>
      </c>
      <c r="E1941" s="3" t="str">
        <f>"Goosebumps horrorland. 16, Weirdo Halloween"</f>
        <v>Goosebumps horrorland. 16, Weirdo Halloween</v>
      </c>
      <c r="F1941" s="3" t="str">
        <f>"by R. L. Stine"</f>
        <v>by R. L. Stine</v>
      </c>
      <c r="G1941" s="3" t="str">
        <f>"Scholastic"</f>
        <v>Scholastic</v>
      </c>
      <c r="H1941" s="2" t="str">
        <f>"2010"</f>
        <v>2010</v>
      </c>
      <c r="I1941" s="3" t="str">
        <f>""</f>
        <v/>
      </c>
    </row>
    <row r="1942" spans="1:9" x14ac:dyDescent="0.3">
      <c r="A1942" s="2">
        <v>1941</v>
      </c>
      <c r="B1942" s="5">
        <v>3</v>
      </c>
      <c r="C1942" s="3" t="str">
        <f>"TFC000003865"</f>
        <v>TFC000003865</v>
      </c>
      <c r="D1942" s="3" t="str">
        <f>"F800-21-0485-17(AR 3.0)"</f>
        <v>F800-21-0485-17(AR 3.0)</v>
      </c>
      <c r="E1942" s="3" t="str">
        <f>"Goosebumps horrorland. 17, The Wizard of Ooze"</f>
        <v>Goosebumps horrorland. 17, The Wizard of Ooze</v>
      </c>
      <c r="F1942" s="3" t="str">
        <f>"by R. L. Stine"</f>
        <v>by R. L. Stine</v>
      </c>
      <c r="G1942" s="3" t="str">
        <f>"Scholastic"</f>
        <v>Scholastic</v>
      </c>
      <c r="H1942" s="2" t="str">
        <f>"2010"</f>
        <v>2010</v>
      </c>
      <c r="I1942" s="3" t="str">
        <f>""</f>
        <v/>
      </c>
    </row>
    <row r="1943" spans="1:9" x14ac:dyDescent="0.3">
      <c r="A1943" s="2">
        <v>1942</v>
      </c>
      <c r="B1943" s="5">
        <v>3</v>
      </c>
      <c r="C1943" s="3" t="str">
        <f>"TFC000001251"</f>
        <v>TFC000001251</v>
      </c>
      <c r="D1943" s="3" t="str">
        <f>"F800-20-1394-2(AR 3.0)"</f>
        <v>F800-20-1394-2(AR 3.0)</v>
      </c>
      <c r="E1943" s="3" t="str">
        <f>"Wings of fire : the graphic novel. 2, the lost heir"</f>
        <v>Wings of fire : the graphic novel. 2, the lost heir</v>
      </c>
      <c r="F1943" s="3" t="str">
        <f>"by Tul T. Sutherland ; adated by Barry Deutsch ; art by Mike Holmes ; color by Maarta Laiho"</f>
        <v>by Tul T. Sutherland ; adated by Barry Deutsch ; art by Mike Holmes ; color by Maarta Laiho</v>
      </c>
      <c r="G1943" s="3" t="str">
        <f>"Scholastic"</f>
        <v>Scholastic</v>
      </c>
      <c r="H1943" s="2" t="str">
        <f>"2019"</f>
        <v>2019</v>
      </c>
      <c r="I1943" s="3" t="str">
        <f>""</f>
        <v/>
      </c>
    </row>
    <row r="1944" spans="1:9" x14ac:dyDescent="0.3">
      <c r="A1944" s="2">
        <v>1943</v>
      </c>
      <c r="B1944" s="5">
        <v>3</v>
      </c>
      <c r="C1944" s="3" t="str">
        <f>"TFC000001254"</f>
        <v>TFC000001254</v>
      </c>
      <c r="D1944" s="3" t="str">
        <f>"F800-20-1397-2(AR 3.0)"</f>
        <v>F800-20-1397-2(AR 3.0)</v>
      </c>
      <c r="E1944" s="3" t="str">
        <f>"Oscar and the moth : a book about light and dark"</f>
        <v>Oscar and the moth : a book about light and dark</v>
      </c>
      <c r="F1944" s="3" t="str">
        <f>"Geoff Waring"</f>
        <v>Geoff Waring</v>
      </c>
      <c r="G1944" s="3" t="str">
        <f>"Candlewick Press"</f>
        <v>Candlewick Press</v>
      </c>
      <c r="H1944" s="2" t="str">
        <f>"2008"</f>
        <v>2008</v>
      </c>
      <c r="I1944" s="3" t="str">
        <f>""</f>
        <v/>
      </c>
    </row>
    <row r="1945" spans="1:9" x14ac:dyDescent="0.3">
      <c r="A1945" s="2">
        <v>1944</v>
      </c>
      <c r="B1945" s="5">
        <v>3</v>
      </c>
      <c r="C1945" s="3" t="str">
        <f>"TFC000004254"</f>
        <v>TFC000004254</v>
      </c>
      <c r="D1945" s="3" t="str">
        <f>"F800-22-0019-3(AR 3.0)"</f>
        <v>F800-22-0019-3(AR 3.0)</v>
      </c>
      <c r="E1945" s="3" t="str">
        <f>"(The)Critter club. 3, Liz learns a lesson"</f>
        <v>(The)Critter club. 3, Liz learns a lesson</v>
      </c>
      <c r="F1945" s="3" t="str">
        <f>"by Callie Barkley, illustrated by Marsha Riti"</f>
        <v>by Callie Barkley, illustrated by Marsha Riti</v>
      </c>
      <c r="G1945" s="3" t="str">
        <f>"LittleSimon"</f>
        <v>LittleSimon</v>
      </c>
      <c r="H1945" s="2" t="str">
        <f>"2013"</f>
        <v>2013</v>
      </c>
      <c r="I1945" s="3" t="str">
        <f>""</f>
        <v/>
      </c>
    </row>
    <row r="1946" spans="1:9" x14ac:dyDescent="0.3">
      <c r="A1946" s="2">
        <v>1945</v>
      </c>
      <c r="B1946" s="5">
        <v>3</v>
      </c>
      <c r="C1946" s="3" t="str">
        <f>"TFC000004162"</f>
        <v>TFC000004162</v>
      </c>
      <c r="D1946" s="3" t="str">
        <f>"F800-21-0500-4(AR 3.0)"</f>
        <v>F800-21-0500-4(AR 3.0)</v>
      </c>
      <c r="E1946" s="3" t="str">
        <f>"Eva and the new owl"</f>
        <v>Eva and the new owl</v>
      </c>
      <c r="F1946" s="3" t="str">
        <f>"by Rebecca Elliott"</f>
        <v>by Rebecca Elliott</v>
      </c>
      <c r="G1946" s="3" t="str">
        <f>"Scholastic Inc"</f>
        <v>Scholastic Inc</v>
      </c>
      <c r="H1946" s="2" t="str">
        <f>"2016"</f>
        <v>2016</v>
      </c>
      <c r="I1946" s="3" t="str">
        <f>""</f>
        <v/>
      </c>
    </row>
    <row r="1947" spans="1:9" x14ac:dyDescent="0.3">
      <c r="A1947" s="2">
        <v>1946</v>
      </c>
      <c r="B1947" s="5">
        <v>3</v>
      </c>
      <c r="C1947" s="3" t="str">
        <f>"TFC000004256"</f>
        <v>TFC000004256</v>
      </c>
      <c r="D1947" s="3" t="str">
        <f>"F800-22-0020-5(AR 3.0)"</f>
        <v>F800-22-0020-5(AR 3.0)</v>
      </c>
      <c r="E1947" s="3" t="str">
        <f>"(The)Critter club. 5, Amy meets her stepsister"</f>
        <v>(The)Critter club. 5, Amy meets her stepsister</v>
      </c>
      <c r="F1947" s="3" t="str">
        <f>"by Callie Barkley, illustrated by Marsha Riti"</f>
        <v>by Callie Barkley, illustrated by Marsha Riti</v>
      </c>
      <c r="G1947" s="3" t="str">
        <f>"LittleSimon"</f>
        <v>LittleSimon</v>
      </c>
      <c r="H1947" s="2" t="str">
        <f>"2013"</f>
        <v>2013</v>
      </c>
      <c r="I1947" s="3" t="str">
        <f>""</f>
        <v/>
      </c>
    </row>
    <row r="1948" spans="1:9" x14ac:dyDescent="0.3">
      <c r="A1948" s="2">
        <v>1947</v>
      </c>
      <c r="B1948" s="4" t="s">
        <v>32</v>
      </c>
      <c r="C1948" s="3" t="str">
        <f>"TFC000001283"</f>
        <v>TFC000001283</v>
      </c>
      <c r="D1948" s="3" t="str">
        <f>"F800-20-1433-(AR 3.1)"</f>
        <v>F800-20-1433-(AR 3.1)</v>
      </c>
      <c r="E1948" s="3" t="str">
        <f>"Dooby Dooby Moo"</f>
        <v>Dooby Dooby Moo</v>
      </c>
      <c r="F1948" s="3" t="str">
        <f>"by Doreen Cronin ; illustrated by Betsy Lewin"</f>
        <v>by Doreen Cronin ; illustrated by Betsy Lewin</v>
      </c>
      <c r="G1948" s="3" t="str">
        <f>"Little Simon"</f>
        <v>Little Simon</v>
      </c>
      <c r="H1948" s="2" t="str">
        <f>"2006"</f>
        <v>2006</v>
      </c>
      <c r="I1948" s="2" t="s">
        <v>2</v>
      </c>
    </row>
    <row r="1949" spans="1:9" x14ac:dyDescent="0.3">
      <c r="A1949" s="2">
        <v>1948</v>
      </c>
      <c r="B1949" s="4" t="s">
        <v>32</v>
      </c>
      <c r="C1949" s="3" t="str">
        <f>"TFC000001295"</f>
        <v>TFC000001295</v>
      </c>
      <c r="D1949" s="3" t="str">
        <f>"F800-20-1445-(AR 3.1)"</f>
        <v>F800-20-1445-(AR 3.1)</v>
      </c>
      <c r="E1949" s="3" t="str">
        <f>"Marsupial Sue presents the runaway pancake"</f>
        <v>Marsupial Sue presents the runaway pancake</v>
      </c>
      <c r="F1949" s="3" t="str">
        <f>"John Lithgow ; illustrated by Jack E Davis"</f>
        <v>John Lithgow ; illustrated by Jack E Davis</v>
      </c>
      <c r="G1949" s="3" t="str">
        <f>"Simon &amp; Schuster Books for Young Readers"</f>
        <v>Simon &amp; Schuster Books for Young Readers</v>
      </c>
      <c r="H1949" s="2" t="str">
        <f>"2005"</f>
        <v>2005</v>
      </c>
      <c r="I1949" s="2" t="s">
        <v>2</v>
      </c>
    </row>
    <row r="1950" spans="1:9" x14ac:dyDescent="0.3">
      <c r="A1950" s="2">
        <v>1949</v>
      </c>
      <c r="B1950" s="4" t="s">
        <v>32</v>
      </c>
      <c r="C1950" s="3" t="str">
        <f>"TFC000004214"</f>
        <v>TFC000004214</v>
      </c>
      <c r="D1950" s="3" t="str">
        <f>"F800-22-0099-(AR 3.1)"</f>
        <v>F800-22-0099-(AR 3.1)</v>
      </c>
      <c r="E1950" s="3" t="str">
        <f>"Crocodiles Need Kisses Too"</f>
        <v>Crocodiles Need Kisses Too</v>
      </c>
      <c r="F1950" s="3" t="str">
        <f>"by Rebecca Colby, illustrations by Penelope Dullaghan"</f>
        <v>by Rebecca Colby, illustrations by Penelope Dullaghan</v>
      </c>
      <c r="G1950" s="3" t="str">
        <f>"TWOPONDS(투판즈)"</f>
        <v>TWOPONDS(투판즈)</v>
      </c>
      <c r="H1950" s="2" t="str">
        <f>"2016"</f>
        <v>2016</v>
      </c>
      <c r="I1950" s="2" t="s">
        <v>2</v>
      </c>
    </row>
    <row r="1951" spans="1:9" x14ac:dyDescent="0.3">
      <c r="A1951" s="2">
        <v>1950</v>
      </c>
      <c r="B1951" s="4" t="s">
        <v>32</v>
      </c>
      <c r="C1951" s="3" t="str">
        <f>"TFC000001255"</f>
        <v>TFC000001255</v>
      </c>
      <c r="D1951" s="3" t="str">
        <f>"F400-20-1405-(AR 3.1)"</f>
        <v>F400-20-1405-(AR 3.1)</v>
      </c>
      <c r="E1951" s="3" t="str">
        <f>"(The)big dipper"</f>
        <v>(The)big dipper</v>
      </c>
      <c r="F1951" s="3" t="str">
        <f>"by Franklyn M. Branley ; illustrated by Molly Coxe"</f>
        <v>by Franklyn M. Branley ; illustrated by Molly Coxe</v>
      </c>
      <c r="G1951" s="3" t="str">
        <f>"HarperCollins Publishers"</f>
        <v>HarperCollins Publishers</v>
      </c>
      <c r="H1951" s="2" t="str">
        <f>"1991"</f>
        <v>1991</v>
      </c>
      <c r="I1951" s="3" t="str">
        <f>""</f>
        <v/>
      </c>
    </row>
    <row r="1952" spans="1:9" x14ac:dyDescent="0.3">
      <c r="A1952" s="2">
        <v>1951</v>
      </c>
      <c r="B1952" s="4" t="s">
        <v>32</v>
      </c>
      <c r="C1952" s="3" t="str">
        <f>"TFC000001256"</f>
        <v>TFC000001256</v>
      </c>
      <c r="D1952" s="3" t="str">
        <f>"F800-20-1406-(AR 3.1)"</f>
        <v>F800-20-1406-(AR 3.1)</v>
      </c>
      <c r="E1952" s="3" t="str">
        <f>"Madeline"</f>
        <v>Madeline</v>
      </c>
      <c r="F1952" s="3" t="str">
        <f>"story &amp; pictures by Ludwig Bemelmans"</f>
        <v>story &amp; pictures by Ludwig Bemelmans</v>
      </c>
      <c r="G1952" s="3" t="str">
        <f>"Puffin Books"</f>
        <v>Puffin Books</v>
      </c>
      <c r="H1952" s="2" t="str">
        <f>"1998"</f>
        <v>1998</v>
      </c>
      <c r="I1952" s="3" t="str">
        <f>""</f>
        <v/>
      </c>
    </row>
    <row r="1953" spans="1:9" x14ac:dyDescent="0.3">
      <c r="A1953" s="2">
        <v>1952</v>
      </c>
      <c r="B1953" s="4" t="s">
        <v>32</v>
      </c>
      <c r="C1953" s="3" t="str">
        <f>"TFC000001257"</f>
        <v>TFC000001257</v>
      </c>
      <c r="D1953" s="3" t="str">
        <f>"F800-20-1407-(AR 3.1)"</f>
        <v>F800-20-1407-(AR 3.1)</v>
      </c>
      <c r="E1953" s="3" t="str">
        <f>"(The)berenstain bears bedtime battle"</f>
        <v>(The)berenstain bears bedtime battle</v>
      </c>
      <c r="F1953" s="3" t="str">
        <f>"Stan Berenstain, Jan Berenstain"</f>
        <v>Stan Berenstain, Jan Berenstain</v>
      </c>
      <c r="G1953" s="3" t="str">
        <f>"HarperFestival"</f>
        <v>HarperFestival</v>
      </c>
      <c r="H1953" s="2" t="str">
        <f>"2007"</f>
        <v>2007</v>
      </c>
      <c r="I1953" s="3" t="str">
        <f>""</f>
        <v/>
      </c>
    </row>
    <row r="1954" spans="1:9" x14ac:dyDescent="0.3">
      <c r="A1954" s="2">
        <v>1953</v>
      </c>
      <c r="B1954" s="4" t="s">
        <v>32</v>
      </c>
      <c r="C1954" s="3" t="str">
        <f>"TFC000001258"</f>
        <v>TFC000001258</v>
      </c>
      <c r="D1954" s="3" t="str">
        <f>"F800-20-1408-(AR 3.1)"</f>
        <v>F800-20-1408-(AR 3.1)</v>
      </c>
      <c r="E1954" s="3" t="str">
        <f>"Arthur and the scare-your-pants-off club"</f>
        <v>Arthur and the scare-your-pants-off club</v>
      </c>
      <c r="F1954" s="3" t="str">
        <f>"by Marc Brown ; text by Stephen Krensky"</f>
        <v>by Marc Brown ; text by Stephen Krensky</v>
      </c>
      <c r="G1954" s="3" t="str">
        <f>"Little, Brown"</f>
        <v>Little, Brown</v>
      </c>
      <c r="H1954" s="2" t="str">
        <f>"1998"</f>
        <v>1998</v>
      </c>
      <c r="I1954" s="3" t="str">
        <f>""</f>
        <v/>
      </c>
    </row>
    <row r="1955" spans="1:9" x14ac:dyDescent="0.3">
      <c r="A1955" s="2">
        <v>1954</v>
      </c>
      <c r="B1955" s="4" t="s">
        <v>32</v>
      </c>
      <c r="C1955" s="3" t="str">
        <f>"TFC000001259"</f>
        <v>TFC000001259</v>
      </c>
      <c r="D1955" s="3" t="str">
        <f>"F800-20-1409-(AR 3.1)"</f>
        <v>F800-20-1409-(AR 3.1)</v>
      </c>
      <c r="E1955" s="3" t="str">
        <f>"Two little trains"</f>
        <v>Two little trains</v>
      </c>
      <c r="F1955" s="3" t="str">
        <f>"by Margaret Wise Brown ; pictures by Leo Dillon ; pictures by Diane Dillon"</f>
        <v>by Margaret Wise Brown ; pictures by Leo Dillon ; pictures by Diane Dillon</v>
      </c>
      <c r="G1955" s="3" t="str">
        <f>"HarperCollins Publishers"</f>
        <v>HarperCollins Publishers</v>
      </c>
      <c r="H1955" s="2" t="str">
        <f>"2001"</f>
        <v>2001</v>
      </c>
      <c r="I1955" s="3" t="str">
        <f>""</f>
        <v/>
      </c>
    </row>
    <row r="1956" spans="1:9" x14ac:dyDescent="0.3">
      <c r="A1956" s="2">
        <v>1955</v>
      </c>
      <c r="B1956" s="4" t="s">
        <v>32</v>
      </c>
      <c r="C1956" s="3" t="str">
        <f>"TFC000001260"</f>
        <v>TFC000001260</v>
      </c>
      <c r="D1956" s="3" t="str">
        <f>"F800-20-1410-(AR 3.1)"</f>
        <v>F800-20-1410-(AR 3.1)</v>
      </c>
      <c r="E1956" s="3" t="str">
        <f>"Monster manners"</f>
        <v>Monster manners</v>
      </c>
      <c r="F1956" s="3" t="str">
        <f>"by Joanna Cole ; ilustrated by Jared Lee"</f>
        <v>by Joanna Cole ; ilustrated by Jared Lee</v>
      </c>
      <c r="G1956" s="3" t="str">
        <f>"Scholastic"</f>
        <v>Scholastic</v>
      </c>
      <c r="H1956" s="2" t="str">
        <f>"2003"</f>
        <v>2003</v>
      </c>
      <c r="I1956" s="3" t="str">
        <f>""</f>
        <v/>
      </c>
    </row>
    <row r="1957" spans="1:9" x14ac:dyDescent="0.3">
      <c r="A1957" s="2">
        <v>1956</v>
      </c>
      <c r="B1957" s="4" t="s">
        <v>32</v>
      </c>
      <c r="C1957" s="3" t="str">
        <f>"TFC000001261"</f>
        <v>TFC000001261</v>
      </c>
      <c r="D1957" s="3" t="str">
        <f>"F800-20-1411-(AR 3.1)"</f>
        <v>F800-20-1411-(AR 3.1)</v>
      </c>
      <c r="E1957" s="3" t="str">
        <f>"Yikes! Grandma's a teenager"</f>
        <v>Yikes! Grandma's a teenager</v>
      </c>
      <c r="F1957" s="3" t="str">
        <f>"by Dan Greenburg ; illustrated by Jack E. Davis"</f>
        <v>by Dan Greenburg ; illustrated by Jack E. Davis</v>
      </c>
      <c r="G1957" s="3" t="str">
        <f>"Grosset &amp; Dunlap"</f>
        <v>Grosset &amp; Dunlap</v>
      </c>
      <c r="H1957" s="2" t="str">
        <f>"2007"</f>
        <v>2007</v>
      </c>
      <c r="I1957" s="3" t="str">
        <f>""</f>
        <v/>
      </c>
    </row>
    <row r="1958" spans="1:9" x14ac:dyDescent="0.3">
      <c r="A1958" s="2">
        <v>1957</v>
      </c>
      <c r="B1958" s="4" t="s">
        <v>32</v>
      </c>
      <c r="C1958" s="3" t="str">
        <f>"TFC000001262"</f>
        <v>TFC000001262</v>
      </c>
      <c r="D1958" s="3" t="str">
        <f>"F800-20-1412-(AR 3.1)"</f>
        <v>F800-20-1412-(AR 3.1)</v>
      </c>
      <c r="E1958" s="3" t="str">
        <f>"Arthur's funny money"</f>
        <v>Arthur's funny money</v>
      </c>
      <c r="F1958" s="3" t="str">
        <f>"Lillian Hoban"</f>
        <v>Lillian Hoban</v>
      </c>
      <c r="G1958" s="3" t="str">
        <f>"HarperTrophy:Moonjin Media"</f>
        <v>HarperTrophy:Moonjin Media</v>
      </c>
      <c r="H1958" s="2" t="str">
        <f>"1981"</f>
        <v>1981</v>
      </c>
      <c r="I1958" s="3" t="str">
        <f>""</f>
        <v/>
      </c>
    </row>
    <row r="1959" spans="1:9" x14ac:dyDescent="0.3">
      <c r="A1959" s="2">
        <v>1958</v>
      </c>
      <c r="B1959" s="4" t="s">
        <v>32</v>
      </c>
      <c r="C1959" s="3" t="str">
        <f>"TFC000001263"</f>
        <v>TFC000001263</v>
      </c>
      <c r="D1959" s="3" t="str">
        <f>"F800-20-1413-(AR 3.1)"</f>
        <v>F800-20-1413-(AR 3.1)</v>
      </c>
      <c r="E1959" s="3" t="str">
        <f>"Arthur's pen pal"</f>
        <v>Arthur's pen pal</v>
      </c>
      <c r="F1959" s="3" t="str">
        <f>"Lillian Hoban"</f>
        <v>Lillian Hoban</v>
      </c>
      <c r="G1959" s="3" t="str">
        <f>"HarperTrophy:Moonjin Media"</f>
        <v>HarperTrophy:Moonjin Media</v>
      </c>
      <c r="H1959" s="2" t="str">
        <f>"1976"</f>
        <v>1976</v>
      </c>
      <c r="I1959" s="3" t="str">
        <f>""</f>
        <v/>
      </c>
    </row>
    <row r="1960" spans="1:9" x14ac:dyDescent="0.3">
      <c r="A1960" s="2">
        <v>1959</v>
      </c>
      <c r="B1960" s="4" t="s">
        <v>32</v>
      </c>
      <c r="C1960" s="3" t="str">
        <f>"TFC000001264"</f>
        <v>TFC000001264</v>
      </c>
      <c r="D1960" s="3" t="str">
        <f>"F800-20-1414-(AR 3.1)"</f>
        <v>F800-20-1414-(AR 3.1)</v>
      </c>
      <c r="E1960" s="3" t="str">
        <f>"Lilly's purple plastic purse"</f>
        <v>Lilly's purple plastic purse</v>
      </c>
      <c r="F1960" s="3" t="str">
        <f>"Kevin Henkes by"</f>
        <v>Kevin Henkes by</v>
      </c>
      <c r="G1960" s="3" t="str">
        <f>"Greenwillow Books"</f>
        <v>Greenwillow Books</v>
      </c>
      <c r="H1960" s="2" t="str">
        <f>"1996"</f>
        <v>1996</v>
      </c>
      <c r="I1960" s="3" t="str">
        <f>""</f>
        <v/>
      </c>
    </row>
    <row r="1961" spans="1:9" x14ac:dyDescent="0.3">
      <c r="A1961" s="2">
        <v>1960</v>
      </c>
      <c r="B1961" s="4" t="s">
        <v>32</v>
      </c>
      <c r="C1961" s="3" t="str">
        <f>"TFC000001265"</f>
        <v>TFC000001265</v>
      </c>
      <c r="D1961" s="3" t="str">
        <f>"F800-20-1415-(AR 3.1)"</f>
        <v>F800-20-1415-(AR 3.1)</v>
      </c>
      <c r="E1961" s="3" t="str">
        <f>"Frederick"</f>
        <v>Frederick</v>
      </c>
      <c r="F1961" s="3" t="str">
        <f>"by Leo Lionni"</f>
        <v>by Leo Lionni</v>
      </c>
      <c r="G1961" s="3" t="str">
        <f>"Random House"</f>
        <v>Random House</v>
      </c>
      <c r="H1961" s="2" t="str">
        <f>"2014"</f>
        <v>2014</v>
      </c>
      <c r="I1961" s="3" t="str">
        <f>""</f>
        <v/>
      </c>
    </row>
    <row r="1962" spans="1:9" x14ac:dyDescent="0.3">
      <c r="A1962" s="2">
        <v>1961</v>
      </c>
      <c r="B1962" s="4" t="s">
        <v>32</v>
      </c>
      <c r="C1962" s="3" t="str">
        <f>"TFC000001266"</f>
        <v>TFC000001266</v>
      </c>
      <c r="D1962" s="3" t="str">
        <f>"F800-20-1416-(AR 3.1)"</f>
        <v>F800-20-1416-(AR 3.1)</v>
      </c>
      <c r="E1962" s="3" t="str">
        <f>"Goldilocks and the three bears"</f>
        <v>Goldilocks and the three bears</v>
      </c>
      <c r="F1962" s="3" t="str">
        <f>"retold and illustrated by James Marshall"</f>
        <v>retold and illustrated by James Marshall</v>
      </c>
      <c r="G1962" s="3" t="str">
        <f>"Puffin Books"</f>
        <v>Puffin Books</v>
      </c>
      <c r="H1962" s="2" t="str">
        <f>"1998"</f>
        <v>1998</v>
      </c>
      <c r="I1962" s="3" t="str">
        <f>""</f>
        <v/>
      </c>
    </row>
    <row r="1963" spans="1:9" x14ac:dyDescent="0.3">
      <c r="A1963" s="2">
        <v>1962</v>
      </c>
      <c r="B1963" s="4" t="s">
        <v>32</v>
      </c>
      <c r="C1963" s="3" t="str">
        <f>"TFC000001267"</f>
        <v>TFC000001267</v>
      </c>
      <c r="D1963" s="3" t="str">
        <f>"F800-20-1417-(AR 3.1)"</f>
        <v>F800-20-1417-(AR 3.1)</v>
      </c>
      <c r="E1963" s="3" t="str">
        <f>"Stone soup"</f>
        <v>Stone soup</v>
      </c>
      <c r="F1963" s="3" t="str">
        <f>"by Ann McGovern ; pictures by Winslow Pinney Pels"</f>
        <v>by Ann McGovern ; pictures by Winslow Pinney Pels</v>
      </c>
      <c r="G1963" s="3" t="str">
        <f>"Scholastic"</f>
        <v>Scholastic</v>
      </c>
      <c r="H1963" s="2" t="str">
        <f>"1968"</f>
        <v>1968</v>
      </c>
      <c r="I1963" s="3" t="str">
        <f>""</f>
        <v/>
      </c>
    </row>
    <row r="1964" spans="1:9" x14ac:dyDescent="0.3">
      <c r="A1964" s="2">
        <v>1963</v>
      </c>
      <c r="B1964" s="4" t="s">
        <v>32</v>
      </c>
      <c r="C1964" s="3" t="str">
        <f>"TFC000001268"</f>
        <v>TFC000001268</v>
      </c>
      <c r="D1964" s="3" t="str">
        <f>"F800-20-1418-(AR 3.1)"</f>
        <v>F800-20-1418-(AR 3.1)</v>
      </c>
      <c r="E1964" s="3" t="str">
        <f>"Nate the great and the fishy prize"</f>
        <v>Nate the great and the fishy prize</v>
      </c>
      <c r="F1964" s="3" t="str">
        <f>"by Marjorie Weinman Sharmat ; illustrated by Marc Simont"</f>
        <v>by Marjorie Weinman Sharmat ; illustrated by Marc Simont</v>
      </c>
      <c r="G1964" s="3" t="str">
        <f>"Yearling Book"</f>
        <v>Yearling Book</v>
      </c>
      <c r="H1964" s="2" t="str">
        <f>"2004"</f>
        <v>2004</v>
      </c>
      <c r="I1964" s="3" t="str">
        <f>""</f>
        <v/>
      </c>
    </row>
    <row r="1965" spans="1:9" x14ac:dyDescent="0.3">
      <c r="A1965" s="2">
        <v>1964</v>
      </c>
      <c r="B1965" s="4" t="s">
        <v>32</v>
      </c>
      <c r="C1965" s="3" t="str">
        <f>"TFC000001269"</f>
        <v>TFC000001269</v>
      </c>
      <c r="D1965" s="3" t="str">
        <f>"F800-20-1419-(AR 3.1)"</f>
        <v>F800-20-1419-(AR 3.1)</v>
      </c>
      <c r="E1965" s="3" t="str">
        <f>"Caps for sale : a tale of a peddler, some monkeys and their monkey business"</f>
        <v>Caps for sale : a tale of a peddler, some monkeys and their monkey business</v>
      </c>
      <c r="F1965" s="3" t="str">
        <f>"Told and illustated by Esphyr Slobodkina"</f>
        <v>Told and illustated by Esphyr Slobodkina</v>
      </c>
      <c r="G1965" s="3" t="str">
        <f>"HarperCollins Publishers"</f>
        <v>HarperCollins Publishers</v>
      </c>
      <c r="H1965" s="2" t="str">
        <f>"1968"</f>
        <v>1968</v>
      </c>
      <c r="I1965" s="3" t="str">
        <f>""</f>
        <v/>
      </c>
    </row>
    <row r="1966" spans="1:9" x14ac:dyDescent="0.3">
      <c r="A1966" s="2">
        <v>1965</v>
      </c>
      <c r="B1966" s="4" t="s">
        <v>32</v>
      </c>
      <c r="C1966" s="3" t="str">
        <f>"TFC000001270"</f>
        <v>TFC000001270</v>
      </c>
      <c r="D1966" s="3" t="str">
        <f>"F800-20-1420-(AR 3.1)"</f>
        <v>F800-20-1420-(AR 3.1)</v>
      </c>
      <c r="E1966" s="3" t="str">
        <f>"Harry the dirty dog"</f>
        <v>Harry the dirty dog</v>
      </c>
      <c r="F1966" s="3" t="str">
        <f>"by Gene Zion ; pictures by Margaret Bloy Graham"</f>
        <v>by Gene Zion ; pictures by Margaret Bloy Graham</v>
      </c>
      <c r="G1966" s="3" t="str">
        <f>"HarperCollins Publishers"</f>
        <v>HarperCollins Publishers</v>
      </c>
      <c r="H1966" s="2" t="str">
        <f>"2002"</f>
        <v>2002</v>
      </c>
      <c r="I1966" s="3" t="str">
        <f>""</f>
        <v/>
      </c>
    </row>
    <row r="1967" spans="1:9" x14ac:dyDescent="0.3">
      <c r="A1967" s="2">
        <v>1966</v>
      </c>
      <c r="B1967" s="4" t="s">
        <v>32</v>
      </c>
      <c r="C1967" s="3" t="str">
        <f>"TFC000001271"</f>
        <v>TFC000001271</v>
      </c>
      <c r="D1967" s="3" t="str">
        <f>"F800-20-1421-(AR 3.1)"</f>
        <v>F800-20-1421-(AR 3.1)</v>
      </c>
      <c r="E1967" s="3" t="str">
        <f>"Across the Bay"</f>
        <v>Across the Bay</v>
      </c>
      <c r="F1967" s="3" t="str">
        <f>"written and illustrated by Carlos Aponte"</f>
        <v>written and illustrated by Carlos Aponte</v>
      </c>
      <c r="G1967" s="3" t="str">
        <f>"Penguin Workshop"</f>
        <v>Penguin Workshop</v>
      </c>
      <c r="H1967" s="2" t="str">
        <f>"2019"</f>
        <v>2019</v>
      </c>
      <c r="I1967" s="3" t="str">
        <f>""</f>
        <v/>
      </c>
    </row>
    <row r="1968" spans="1:9" x14ac:dyDescent="0.3">
      <c r="A1968" s="2">
        <v>1967</v>
      </c>
      <c r="B1968" s="4" t="s">
        <v>32</v>
      </c>
      <c r="C1968" s="3" t="str">
        <f>"TFC000001272"</f>
        <v>TFC000001272</v>
      </c>
      <c r="D1968" s="3" t="str">
        <f>"F800-20-1422-(AR 3.1)"</f>
        <v>F800-20-1422-(AR 3.1)</v>
      </c>
      <c r="E1968" s="3" t="str">
        <f>"Prairie school"</f>
        <v>Prairie school</v>
      </c>
      <c r="F1968" s="3" t="str">
        <f>"story by Avi ; pictures by Bill Farnsworth"</f>
        <v>story by Avi ; pictures by Bill Farnsworth</v>
      </c>
      <c r="G1968" s="3" t="str">
        <f>"HarperCollins Publishers"</f>
        <v>HarperCollins Publishers</v>
      </c>
      <c r="H1968" s="2" t="str">
        <f>"2001"</f>
        <v>2001</v>
      </c>
      <c r="I1968" s="3" t="str">
        <f>""</f>
        <v/>
      </c>
    </row>
    <row r="1969" spans="1:9" x14ac:dyDescent="0.3">
      <c r="A1969" s="2">
        <v>1968</v>
      </c>
      <c r="B1969" s="4" t="s">
        <v>32</v>
      </c>
      <c r="C1969" s="3" t="str">
        <f>"TFC000001273"</f>
        <v>TFC000001273</v>
      </c>
      <c r="D1969" s="3" t="str">
        <f>"F800-20-1423-(AR 3.1)"</f>
        <v>F800-20-1423-(AR 3.1)</v>
      </c>
      <c r="E1969" s="3" t="str">
        <f>"Ivy + Bean. 3, break the fossil record"</f>
        <v>Ivy + Bean. 3, break the fossil record</v>
      </c>
      <c r="F1969" s="3" t="str">
        <f>"written by Annie Barrows ; illustrated by Sophie Blackall"</f>
        <v>written by Annie Barrows ; illustrated by Sophie Blackall</v>
      </c>
      <c r="G1969" s="3" t="str">
        <f>"Spotlight"</f>
        <v>Spotlight</v>
      </c>
      <c r="H1969" s="2" t="str">
        <f>"2012"</f>
        <v>2012</v>
      </c>
      <c r="I1969" s="3" t="str">
        <f>""</f>
        <v/>
      </c>
    </row>
    <row r="1970" spans="1:9" x14ac:dyDescent="0.3">
      <c r="A1970" s="2">
        <v>1969</v>
      </c>
      <c r="B1970" s="4" t="s">
        <v>32</v>
      </c>
      <c r="C1970" s="3" t="str">
        <f>"TFC000001274"</f>
        <v>TFC000001274</v>
      </c>
      <c r="D1970" s="3" t="str">
        <f>"F800-20-1424-(AR 3.1)"</f>
        <v>F800-20-1424-(AR 3.1)</v>
      </c>
      <c r="E1970" s="3" t="str">
        <f>"Sophie the awesome"</f>
        <v>Sophie the awesome</v>
      </c>
      <c r="F1970" s="3" t="str">
        <f>"by Lara Bergen ; illustrated by Laura Tallardy"</f>
        <v>by Lara Bergen ; illustrated by Laura Tallardy</v>
      </c>
      <c r="G1970" s="3" t="str">
        <f>"Scholastic"</f>
        <v>Scholastic</v>
      </c>
      <c r="H1970" s="2" t="str">
        <f>"2010"</f>
        <v>2010</v>
      </c>
      <c r="I1970" s="3" t="str">
        <f>""</f>
        <v/>
      </c>
    </row>
    <row r="1971" spans="1:9" x14ac:dyDescent="0.3">
      <c r="A1971" s="2">
        <v>1970</v>
      </c>
      <c r="B1971" s="4" t="s">
        <v>32</v>
      </c>
      <c r="C1971" s="3" t="str">
        <f>"TFC000001275"</f>
        <v>TFC000001275</v>
      </c>
      <c r="D1971" s="3" t="str">
        <f>"F800-20-1425-(AR 3.1)"</f>
        <v>F800-20-1425-(AR 3.1)</v>
      </c>
      <c r="E1971" s="3" t="str">
        <f>"Freckle juice"</f>
        <v>Freckle juice</v>
      </c>
      <c r="F1971" s="3" t="str">
        <f>"Judy Blume ; illustrations by Debbie Ridpath Ohi"</f>
        <v>Judy Blume ; illustrations by Debbie Ridpath Ohi</v>
      </c>
      <c r="G1971" s="3" t="str">
        <f>"Atheneum Books for Young Readers"</f>
        <v>Atheneum Books for Young Readers</v>
      </c>
      <c r="H1971" s="2" t="str">
        <f>"2014"</f>
        <v>2014</v>
      </c>
      <c r="I1971" s="3" t="str">
        <f>""</f>
        <v/>
      </c>
    </row>
    <row r="1972" spans="1:9" x14ac:dyDescent="0.3">
      <c r="A1972" s="2">
        <v>1971</v>
      </c>
      <c r="B1972" s="4" t="s">
        <v>32</v>
      </c>
      <c r="C1972" s="3" t="str">
        <f>"TFC000001277"</f>
        <v>TFC000001277</v>
      </c>
      <c r="D1972" s="3" t="str">
        <f>"F800-20-1427-(AR 3.1)"</f>
        <v>F800-20-1427-(AR 3.1)</v>
      </c>
      <c r="E1972" s="3" t="str">
        <f>"(The)three snow bears"</f>
        <v>(The)three snow bears</v>
      </c>
      <c r="F1972" s="3" t="str">
        <f>"Jan Brett"</f>
        <v>Jan Brett</v>
      </c>
      <c r="G1972" s="3" t="str">
        <f>"G. P. Putnam's Sons"</f>
        <v>G. P. Putnam's Sons</v>
      </c>
      <c r="H1972" s="2" t="str">
        <f>"2007"</f>
        <v>2007</v>
      </c>
      <c r="I1972" s="3" t="str">
        <f>""</f>
        <v/>
      </c>
    </row>
    <row r="1973" spans="1:9" x14ac:dyDescent="0.3">
      <c r="A1973" s="2">
        <v>1972</v>
      </c>
      <c r="B1973" s="4" t="s">
        <v>32</v>
      </c>
      <c r="C1973" s="3" t="str">
        <f>"TFC000001278"</f>
        <v>TFC000001278</v>
      </c>
      <c r="D1973" s="3" t="str">
        <f>"F800-20-1428-(AR 3.1)"</f>
        <v>F800-20-1428-(AR 3.1)</v>
      </c>
      <c r="E1973" s="3" t="str">
        <f>"(The)lion inside"</f>
        <v>(The)lion inside</v>
      </c>
      <c r="F1973" s="3" t="str">
        <f>"Rachel Bright ; illustrated by Jim Field"</f>
        <v>Rachel Bright ; illustrated by Jim Field</v>
      </c>
      <c r="G1973" s="3" t="str">
        <f>"Scholastic Press"</f>
        <v>Scholastic Press</v>
      </c>
      <c r="H1973" s="2" t="str">
        <f>"2016"</f>
        <v>2016</v>
      </c>
      <c r="I1973" s="3" t="str">
        <f>""</f>
        <v/>
      </c>
    </row>
    <row r="1974" spans="1:9" x14ac:dyDescent="0.3">
      <c r="A1974" s="2">
        <v>1973</v>
      </c>
      <c r="B1974" s="4" t="s">
        <v>32</v>
      </c>
      <c r="C1974" s="3" t="str">
        <f>"TFC000001279"</f>
        <v>TFC000001279</v>
      </c>
      <c r="D1974" s="3" t="str">
        <f>"F800-20-1429-(AR 3.1)"</f>
        <v>F800-20-1429-(AR 3.1)</v>
      </c>
      <c r="E1974" s="3" t="str">
        <f>"Cheerful chick"</f>
        <v>Cheerful chick</v>
      </c>
      <c r="F1974" s="3" t="str">
        <f>"by Martha Brockenbrough ; illustrated by Brian Won"</f>
        <v>by Martha Brockenbrough ; illustrated by Brian Won</v>
      </c>
      <c r="G1974" s="3" t="str">
        <f>"Arthur A. Levine Books"</f>
        <v>Arthur A. Levine Books</v>
      </c>
      <c r="H1974" s="2" t="str">
        <f>"2019"</f>
        <v>2019</v>
      </c>
      <c r="I1974" s="3" t="str">
        <f>""</f>
        <v/>
      </c>
    </row>
    <row r="1975" spans="1:9" x14ac:dyDescent="0.3">
      <c r="A1975" s="2">
        <v>1974</v>
      </c>
      <c r="B1975" s="4" t="s">
        <v>32</v>
      </c>
      <c r="C1975" s="3" t="str">
        <f>"TFC000001280"</f>
        <v>TFC000001280</v>
      </c>
      <c r="D1975" s="3" t="str">
        <f>"F800-20-1430-(AR 3.1)"</f>
        <v>F800-20-1430-(AR 3.1)</v>
      </c>
      <c r="E1975" s="3" t="str">
        <f>"One cool friend"</f>
        <v>One cool friend</v>
      </c>
      <c r="F1975" s="3" t="str">
        <f>"story by Toni Buzzeo ; pictures by David Small"</f>
        <v>story by Toni Buzzeo ; pictures by David Small</v>
      </c>
      <c r="G1975" s="3" t="str">
        <f>"Dial Books for Young Readers"</f>
        <v>Dial Books for Young Readers</v>
      </c>
      <c r="H1975" s="2" t="str">
        <f>"2012"</f>
        <v>2012</v>
      </c>
      <c r="I1975" s="3" t="str">
        <f>""</f>
        <v/>
      </c>
    </row>
    <row r="1976" spans="1:9" x14ac:dyDescent="0.3">
      <c r="A1976" s="2">
        <v>1975</v>
      </c>
      <c r="B1976" s="4" t="s">
        <v>32</v>
      </c>
      <c r="C1976" s="3" t="str">
        <f>"TFC000001281"</f>
        <v>TFC000001281</v>
      </c>
      <c r="D1976" s="3" t="str">
        <f>"F800-20-1431-(AR 3.1)"</f>
        <v>F800-20-1431-(AR 3.1)</v>
      </c>
      <c r="E1976" s="3" t="str">
        <f>"Gloria's way"</f>
        <v>Gloria's way</v>
      </c>
      <c r="F1976" s="3" t="str">
        <f>"Ann Cameron ; illustrated by Lis Toft"</f>
        <v>Ann Cameron ; illustrated by Lis Toft</v>
      </c>
      <c r="G1976" s="3" t="str">
        <f>"Puffin Books"</f>
        <v>Puffin Books</v>
      </c>
      <c r="H1976" s="2" t="str">
        <f>"2001"</f>
        <v>2001</v>
      </c>
      <c r="I1976" s="3" t="str">
        <f>""</f>
        <v/>
      </c>
    </row>
    <row r="1977" spans="1:9" x14ac:dyDescent="0.3">
      <c r="A1977" s="2">
        <v>1976</v>
      </c>
      <c r="B1977" s="4" t="s">
        <v>32</v>
      </c>
      <c r="C1977" s="3" t="str">
        <f>"TFC000001282"</f>
        <v>TFC000001282</v>
      </c>
      <c r="D1977" s="3" t="str">
        <f>"F800-20-1432-(AR 3.1)"</f>
        <v>F800-20-1432-(AR 3.1)</v>
      </c>
      <c r="E1977" s="3" t="str">
        <f>"(The)incredible present"</f>
        <v>(The)incredible present</v>
      </c>
      <c r="F1977" s="3" t="str">
        <f>"Harriet Castor ; adapted by Lesley Sims ; illustrated by Norman Young"</f>
        <v>Harriet Castor ; adapted by Lesley Sims ; illustrated by Norman Young</v>
      </c>
      <c r="G1977" s="3" t="str">
        <f>"Usborne"</f>
        <v>Usborne</v>
      </c>
      <c r="H1977" s="2" t="str">
        <f>"2007"</f>
        <v>2007</v>
      </c>
      <c r="I1977" s="3" t="str">
        <f>""</f>
        <v/>
      </c>
    </row>
    <row r="1978" spans="1:9" x14ac:dyDescent="0.3">
      <c r="A1978" s="2">
        <v>1977</v>
      </c>
      <c r="B1978" s="4" t="s">
        <v>32</v>
      </c>
      <c r="C1978" s="3" t="str">
        <f>"TFC000001284"</f>
        <v>TFC000001284</v>
      </c>
      <c r="D1978" s="3" t="str">
        <f>"F800-20-1434-(AR 3.1)"</f>
        <v>F800-20-1434-(AR 3.1)</v>
      </c>
      <c r="E1978" s="3" t="str">
        <f>"Anne's kindred spirits"</f>
        <v>Anne's kindred spirits</v>
      </c>
      <c r="F1978" s="3" t="str">
        <f>"adapted by Kallie George ; pictures by Abigail Halpin"</f>
        <v>adapted by Kallie George ; pictures by Abigail Halpin</v>
      </c>
      <c r="G1978" s="3" t="str">
        <f>"Tundra Books"</f>
        <v>Tundra Books</v>
      </c>
      <c r="H1978" s="2" t="str">
        <f>"2019"</f>
        <v>2019</v>
      </c>
      <c r="I1978" s="3" t="str">
        <f>""</f>
        <v/>
      </c>
    </row>
    <row r="1979" spans="1:9" x14ac:dyDescent="0.3">
      <c r="A1979" s="2">
        <v>1978</v>
      </c>
      <c r="B1979" s="4" t="s">
        <v>32</v>
      </c>
      <c r="C1979" s="3" t="str">
        <f>"TFC000001285"</f>
        <v>TFC000001285</v>
      </c>
      <c r="D1979" s="3" t="str">
        <f>"F800-20-1435-(AR 3.1)"</f>
        <v>F800-20-1435-(AR 3.1)</v>
      </c>
      <c r="E1979" s="3" t="str">
        <f>"(The)princess in black and the hungry bunny horde"</f>
        <v>(The)princess in black and the hungry bunny horde</v>
      </c>
      <c r="F1979" s="3" t="str">
        <f>"Shannon Hale ; Dean Hale ; illustrated by LeUyen Pham"</f>
        <v>Shannon Hale ; Dean Hale ; illustrated by LeUyen Pham</v>
      </c>
      <c r="G1979" s="3" t="str">
        <f>"Candlewick Press"</f>
        <v>Candlewick Press</v>
      </c>
      <c r="H1979" s="2" t="str">
        <f>"2016"</f>
        <v>2016</v>
      </c>
      <c r="I1979" s="3" t="str">
        <f>""</f>
        <v/>
      </c>
    </row>
    <row r="1980" spans="1:9" x14ac:dyDescent="0.3">
      <c r="A1980" s="2">
        <v>1979</v>
      </c>
      <c r="B1980" s="4" t="s">
        <v>32</v>
      </c>
      <c r="C1980" s="3" t="str">
        <f>"TFC000001286"</f>
        <v>TFC000001286</v>
      </c>
      <c r="D1980" s="3" t="str">
        <f>"F800-20-1436-(AR 3.1)"</f>
        <v>F800-20-1436-(AR 3.1)</v>
      </c>
      <c r="E1980" s="3" t="str">
        <f>"Little goddess girls. 1, athena &amp; the magic land"</f>
        <v>Little goddess girls. 1, athena &amp; the magic land</v>
      </c>
      <c r="F1980" s="3" t="str">
        <f>"Joan Holub ;  Suzanne Williams"</f>
        <v>Joan Holub ;  Suzanne Williams</v>
      </c>
      <c r="G1980" s="3" t="str">
        <f>"Aladdin Quix"</f>
        <v>Aladdin Quix</v>
      </c>
      <c r="H1980" s="2" t="str">
        <f>"2019"</f>
        <v>2019</v>
      </c>
      <c r="I1980" s="3" t="str">
        <f>""</f>
        <v/>
      </c>
    </row>
    <row r="1981" spans="1:9" x14ac:dyDescent="0.3">
      <c r="A1981" s="2">
        <v>1980</v>
      </c>
      <c r="B1981" s="4" t="s">
        <v>32</v>
      </c>
      <c r="C1981" s="3" t="str">
        <f>"TFC000001287"</f>
        <v>TFC000001287</v>
      </c>
      <c r="D1981" s="3" t="str">
        <f>"F800-20-1437-(AR 3.1)"</f>
        <v>F800-20-1437-(AR 3.1)</v>
      </c>
      <c r="E1981" s="3" t="str">
        <f>"Why do cats meow?"</f>
        <v>Why do cats meow?</v>
      </c>
      <c r="F1981" s="3" t="str">
        <f>"by Joan Holub ; illustrated by Anna DiVito"</f>
        <v>by Joan Holub ; illustrated by Anna DiVito</v>
      </c>
      <c r="G1981" s="3" t="str">
        <f>"Puffin Young Readers"</f>
        <v>Puffin Young Readers</v>
      </c>
      <c r="H1981" s="2" t="str">
        <f>"2001"</f>
        <v>2001</v>
      </c>
      <c r="I1981" s="3" t="str">
        <f>""</f>
        <v/>
      </c>
    </row>
    <row r="1982" spans="1:9" x14ac:dyDescent="0.3">
      <c r="A1982" s="2">
        <v>1981</v>
      </c>
      <c r="B1982" s="4" t="s">
        <v>32</v>
      </c>
      <c r="C1982" s="3" t="str">
        <f>"TFC000001288"</f>
        <v>TFC000001288</v>
      </c>
      <c r="D1982" s="3" t="str">
        <f>"F800-20-1438-(AR 3.1)"</f>
        <v>F800-20-1438-(AR 3.1)</v>
      </c>
      <c r="E1982" s="3" t="str">
        <f>"(The)baby beast"</f>
        <v>(The)baby beast</v>
      </c>
      <c r="F1982" s="3" t="str">
        <f>"Chris Judge"</f>
        <v>Chris Judge</v>
      </c>
      <c r="G1982" s="3" t="str">
        <f>"Andersen Press"</f>
        <v>Andersen Press</v>
      </c>
      <c r="H1982" s="2" t="str">
        <f>"2019"</f>
        <v>2019</v>
      </c>
      <c r="I1982" s="3" t="str">
        <f>""</f>
        <v/>
      </c>
    </row>
    <row r="1983" spans="1:9" x14ac:dyDescent="0.3">
      <c r="A1983" s="2">
        <v>1982</v>
      </c>
      <c r="B1983" s="4" t="s">
        <v>32</v>
      </c>
      <c r="C1983" s="3" t="str">
        <f>"TFC000001289"</f>
        <v>TFC000001289</v>
      </c>
      <c r="D1983" s="3" t="str">
        <f>"F800-20-1439-(AR 3.1)"</f>
        <v>F800-20-1439-(AR 3.1)</v>
      </c>
      <c r="E1983" s="3" t="str">
        <f>"Sleepover sleuths"</f>
        <v>Sleepover sleuths</v>
      </c>
      <c r="F1983" s="3" t="str">
        <f>"by Carolyn Keene ; illustrated by Macky Pamintuan"</f>
        <v>by Carolyn Keene ; illustrated by Macky Pamintuan</v>
      </c>
      <c r="G1983" s="3" t="str">
        <f>"Aladdin Paperbacks"</f>
        <v>Aladdin Paperbacks</v>
      </c>
      <c r="H1983" s="2" t="str">
        <f>"2006"</f>
        <v>2006</v>
      </c>
      <c r="I1983" s="3" t="str">
        <f>""</f>
        <v/>
      </c>
    </row>
    <row r="1984" spans="1:9" x14ac:dyDescent="0.3">
      <c r="A1984" s="2">
        <v>1983</v>
      </c>
      <c r="B1984" s="4" t="s">
        <v>32</v>
      </c>
      <c r="C1984" s="3" t="str">
        <f>"TFC000001290"</f>
        <v>TFC000001290</v>
      </c>
      <c r="D1984" s="3" t="str">
        <f>"F800-20-1440-(AR 3.1)"</f>
        <v>F800-20-1440-(AR 3.1)</v>
      </c>
      <c r="E1984" s="3" t="str">
        <f>"Case of the sneaky snowman"</f>
        <v>Case of the sneaky snowman</v>
      </c>
      <c r="F1984" s="3" t="str">
        <f>"by Carolyn Keene ; illustrated by Macky Pamintuan"</f>
        <v>by Carolyn Keene ; illustrated by Macky Pamintuan</v>
      </c>
      <c r="G1984" s="3" t="str">
        <f>"Aladdin Paperbacks"</f>
        <v>Aladdin Paperbacks</v>
      </c>
      <c r="H1984" s="2" t="str">
        <f>"2006"</f>
        <v>2006</v>
      </c>
      <c r="I1984" s="3" t="str">
        <f>""</f>
        <v/>
      </c>
    </row>
    <row r="1985" spans="1:9" x14ac:dyDescent="0.3">
      <c r="A1985" s="2">
        <v>1984</v>
      </c>
      <c r="B1985" s="4" t="s">
        <v>32</v>
      </c>
      <c r="C1985" s="3" t="str">
        <f>"TFC000001291"</f>
        <v>TFC000001291</v>
      </c>
      <c r="D1985" s="3" t="str">
        <f>"F800-20-1441-(AR 3.1)"</f>
        <v>F800-20-1441-(AR 3.1)</v>
      </c>
      <c r="E1985" s="3" t="str">
        <f>"Camping catastrophe!"</f>
        <v>Camping catastrophe!</v>
      </c>
      <c r="F1985" s="3" t="str">
        <f>"by Abby Klein ; illustrated by John Mckinley"</f>
        <v>by Abby Klein ; illustrated by John Mckinley</v>
      </c>
      <c r="G1985" s="3" t="str">
        <f>"Scholastic"</f>
        <v>Scholastic</v>
      </c>
      <c r="H1985" s="2" t="str">
        <f>"2008"</f>
        <v>2008</v>
      </c>
      <c r="I1985" s="3" t="str">
        <f>""</f>
        <v/>
      </c>
    </row>
    <row r="1986" spans="1:9" x14ac:dyDescent="0.3">
      <c r="A1986" s="2">
        <v>1985</v>
      </c>
      <c r="B1986" s="4" t="s">
        <v>32</v>
      </c>
      <c r="C1986" s="3" t="str">
        <f>"TFC000001292"</f>
        <v>TFC000001292</v>
      </c>
      <c r="D1986" s="3" t="str">
        <f>"F800-20-1442-(AR 3.1)"</f>
        <v>F800-20-1442-(AR 3.1)</v>
      </c>
      <c r="E1986" s="3" t="str">
        <f>"(The)king of show-and-tell"</f>
        <v>(The)king of show-and-tell</v>
      </c>
      <c r="F1986" s="3" t="str">
        <f>"by Abby Klein ; illustrated by John Mckinley"</f>
        <v>by Abby Klein ; illustrated by John Mckinley</v>
      </c>
      <c r="G1986" s="3" t="str">
        <f>"Scholastic"</f>
        <v>Scholastic</v>
      </c>
      <c r="H1986" s="2" t="str">
        <f>"2004"</f>
        <v>2004</v>
      </c>
      <c r="I1986" s="3" t="str">
        <f>""</f>
        <v/>
      </c>
    </row>
    <row r="1987" spans="1:9" x14ac:dyDescent="0.3">
      <c r="A1987" s="2">
        <v>1986</v>
      </c>
      <c r="B1987" s="4" t="s">
        <v>32</v>
      </c>
      <c r="C1987" s="3" t="str">
        <f>"TFC000001293"</f>
        <v>TFC000001293</v>
      </c>
      <c r="D1987" s="3" t="str">
        <f>"F800-20-1443-(AR 3.1)"</f>
        <v>F800-20-1443-(AR 3.1)</v>
      </c>
      <c r="E1987" s="3" t="str">
        <f>"Horrible Harry bugs the three bears"</f>
        <v>Horrible Harry bugs the three bears</v>
      </c>
      <c r="F1987" s="3" t="str">
        <f>"by Suzy Kline ; pictures by Frank Remkiewicz"</f>
        <v>by Suzy Kline ; pictures by Frank Remkiewicz</v>
      </c>
      <c r="G1987" s="3" t="str">
        <f>"Puffin Books"</f>
        <v>Puffin Books</v>
      </c>
      <c r="H1987" s="2" t="str">
        <f>"2009"</f>
        <v>2009</v>
      </c>
      <c r="I1987" s="3" t="str">
        <f>""</f>
        <v/>
      </c>
    </row>
    <row r="1988" spans="1:9" x14ac:dyDescent="0.3">
      <c r="A1988" s="2">
        <v>1987</v>
      </c>
      <c r="B1988" s="4" t="s">
        <v>32</v>
      </c>
      <c r="C1988" s="3" t="str">
        <f>"TFC000001294"</f>
        <v>TFC000001294</v>
      </c>
      <c r="D1988" s="3" t="str">
        <f>"F800-20-1444-(AR 3.1)"</f>
        <v>F800-20-1444-(AR 3.1)</v>
      </c>
      <c r="E1988" s="3" t="str">
        <f>"Bats at the library"</f>
        <v>Bats at the library</v>
      </c>
      <c r="F1988" s="3" t="str">
        <f>"Brian Lies"</f>
        <v>Brian Lies</v>
      </c>
      <c r="G1988" s="3" t="str">
        <f>"Houghton Mifflin Company"</f>
        <v>Houghton Mifflin Company</v>
      </c>
      <c r="H1988" s="2" t="str">
        <f>"2008"</f>
        <v>2008</v>
      </c>
      <c r="I1988" s="3" t="str">
        <f>""</f>
        <v/>
      </c>
    </row>
    <row r="1989" spans="1:9" x14ac:dyDescent="0.3">
      <c r="A1989" s="2">
        <v>1988</v>
      </c>
      <c r="B1989" s="4" t="s">
        <v>32</v>
      </c>
      <c r="C1989" s="3" t="str">
        <f>"TFC000001296"</f>
        <v>TFC000001296</v>
      </c>
      <c r="D1989" s="3" t="str">
        <f>"F800-20-1446-(AR 3.1)"</f>
        <v>F800-20-1446-(AR 3.1)</v>
      </c>
      <c r="E1989" s="3" t="str">
        <f>"How I became a pirate"</f>
        <v>How I became a pirate</v>
      </c>
      <c r="F1989" s="3" t="str">
        <f>"written by Melinda Long ; illustrated by David Shannon"</f>
        <v>written by Melinda Long ; illustrated by David Shannon</v>
      </c>
      <c r="G1989" s="3" t="str">
        <f>"Houghton Mifflin Harcourt"</f>
        <v>Houghton Mifflin Harcourt</v>
      </c>
      <c r="H1989" s="2" t="str">
        <f>"2003"</f>
        <v>2003</v>
      </c>
      <c r="I1989" s="3" t="str">
        <f>""</f>
        <v/>
      </c>
    </row>
    <row r="1990" spans="1:9" x14ac:dyDescent="0.3">
      <c r="A1990" s="2">
        <v>1989</v>
      </c>
      <c r="B1990" s="4" t="s">
        <v>32</v>
      </c>
      <c r="C1990" s="3" t="str">
        <f>"TFC000001297"</f>
        <v>TFC000001297</v>
      </c>
      <c r="D1990" s="3" t="str">
        <f>"F800-20-1447-(AR 3.1)"</f>
        <v>F800-20-1447-(AR 3.1)</v>
      </c>
      <c r="E1990" s="3" t="str">
        <f>"(The)lost dinosaur bone"</f>
        <v>(The)lost dinosaur bone</v>
      </c>
      <c r="F1990" s="3" t="str">
        <f>"by Mercer Mayer"</f>
        <v>by Mercer Mayer</v>
      </c>
      <c r="G1990" s="3" t="str">
        <f>"HarperFestival"</f>
        <v>HarperFestival</v>
      </c>
      <c r="H1990" s="2" t="str">
        <f>"2007"</f>
        <v>2007</v>
      </c>
      <c r="I1990" s="3" t="str">
        <f>""</f>
        <v/>
      </c>
    </row>
    <row r="1991" spans="1:9" x14ac:dyDescent="0.3">
      <c r="A1991" s="2">
        <v>1990</v>
      </c>
      <c r="B1991" s="4" t="s">
        <v>32</v>
      </c>
      <c r="C1991" s="3" t="str">
        <f>"TFC000001298"</f>
        <v>TFC000001298</v>
      </c>
      <c r="D1991" s="3" t="str">
        <f>"F800-20-1448-(AR 3.1)"</f>
        <v>F800-20-1448-(AR 3.1)</v>
      </c>
      <c r="E1991" s="3" t="str">
        <f>"Frank Pearl in the Awful Waffle Kerfuffle"</f>
        <v>Frank Pearl in the Awful Waffle Kerfuffle</v>
      </c>
      <c r="F1991" s="3" t="str">
        <f>"Megan McDonald ; illustrated by Erwin Madrid ; based on the characters created by Peter H. Reynolds"</f>
        <v>Megan McDonald ; illustrated by Erwin Madrid ; based on the characters created by Peter H. Reynolds</v>
      </c>
      <c r="G1991" s="3" t="str">
        <f>"Candlewick Press"</f>
        <v>Candlewick Press</v>
      </c>
      <c r="H1991" s="2" t="str">
        <f>"2014"</f>
        <v>2014</v>
      </c>
      <c r="I1991" s="3" t="str">
        <f>""</f>
        <v/>
      </c>
    </row>
    <row r="1992" spans="1:9" x14ac:dyDescent="0.3">
      <c r="A1992" s="2">
        <v>1991</v>
      </c>
      <c r="B1992" s="4" t="s">
        <v>32</v>
      </c>
      <c r="C1992" s="3" t="str">
        <f>"TFC000001299"</f>
        <v>TFC000001299</v>
      </c>
      <c r="D1992" s="3" t="str">
        <f>"F800-20-1449-(AR 3.1)"</f>
        <v>F800-20-1449-(AR 3.1)</v>
      </c>
      <c r="E1992" s="3" t="str">
        <f>"Triple pet trouble"</f>
        <v>Triple pet trouble</v>
      </c>
      <c r="F1992" s="3" t="str">
        <f>"Megan McDonald ; illustrated by Erwin Madrid ; based on the characters created by Peter H. Reynolds"</f>
        <v>Megan McDonald ; illustrated by Erwin Madrid ; based on the characters created by Peter H. Reynolds</v>
      </c>
      <c r="G1992" s="3" t="str">
        <f>"Candlewick Press"</f>
        <v>Candlewick Press</v>
      </c>
      <c r="H1992" s="2" t="str">
        <f>"2015"</f>
        <v>2015</v>
      </c>
      <c r="I1992" s="3" t="str">
        <f>""</f>
        <v/>
      </c>
    </row>
    <row r="1993" spans="1:9" x14ac:dyDescent="0.3">
      <c r="A1993" s="2">
        <v>1992</v>
      </c>
      <c r="B1993" s="4" t="s">
        <v>32</v>
      </c>
      <c r="C1993" s="3" t="str">
        <f>"TFC000001300"</f>
        <v>TFC000001300</v>
      </c>
      <c r="D1993" s="3" t="str">
        <f>"F800-20-1450-(AR 3.1)"</f>
        <v>F800-20-1450-(AR 3.1)</v>
      </c>
      <c r="E1993" s="3" t="str">
        <f>"Mad about plaid"</f>
        <v>Mad about plaid</v>
      </c>
      <c r="F1993" s="3" t="str">
        <f>"Jill McElmurry"</f>
        <v>Jill McElmurry</v>
      </c>
      <c r="G1993" s="3" t="str">
        <f>"Houghton Mifflin Harcourt"</f>
        <v>Houghton Mifflin Harcourt</v>
      </c>
      <c r="H1993" s="2" t="str">
        <f>"2020"</f>
        <v>2020</v>
      </c>
      <c r="I1993" s="3" t="str">
        <f>""</f>
        <v/>
      </c>
    </row>
    <row r="1994" spans="1:9" x14ac:dyDescent="0.3">
      <c r="A1994" s="2">
        <v>1993</v>
      </c>
      <c r="B1994" s="4" t="s">
        <v>32</v>
      </c>
      <c r="C1994" s="3" t="str">
        <f>"TFC000001301"</f>
        <v>TFC000001301</v>
      </c>
      <c r="D1994" s="3" t="str">
        <f>"F800-20-1451-(AR 3.1)"</f>
        <v>F800-20-1451-(AR 3.1)</v>
      </c>
      <c r="E1994" s="3" t="str">
        <f>"Tek : the modern cave boy"</f>
        <v>Tek : the modern cave boy</v>
      </c>
      <c r="F1994" s="3" t="str">
        <f>"Patrick McDonnell"</f>
        <v>Patrick McDonnell</v>
      </c>
      <c r="G1994" s="3" t="str">
        <f>"Little, Brown and Company"</f>
        <v>Little, Brown and Company</v>
      </c>
      <c r="H1994" s="2" t="str">
        <f>"2016"</f>
        <v>2016</v>
      </c>
      <c r="I1994" s="3" t="str">
        <f>""</f>
        <v/>
      </c>
    </row>
    <row r="1995" spans="1:9" x14ac:dyDescent="0.3">
      <c r="A1995" s="2">
        <v>1994</v>
      </c>
      <c r="B1995" s="4" t="s">
        <v>32</v>
      </c>
      <c r="C1995" s="3" t="str">
        <f>"TFC000001302"</f>
        <v>TFC000001302</v>
      </c>
      <c r="D1995" s="3" t="str">
        <f>"F800-20-1452-(AR 3.1)"</f>
        <v>F800-20-1452-(AR 3.1)</v>
      </c>
      <c r="E1995" s="3" t="str">
        <f>"Abby in wonderland"</f>
        <v>Abby in wonderland</v>
      </c>
      <c r="F1995" s="3" t="str">
        <f>"Sarah Mlynowski"</f>
        <v>Sarah Mlynowski</v>
      </c>
      <c r="G1995" s="3" t="str">
        <f>"Scholastic"</f>
        <v>Scholastic</v>
      </c>
      <c r="H1995" s="2" t="str">
        <f>"2017"</f>
        <v>2017</v>
      </c>
      <c r="I1995" s="3" t="str">
        <f>""</f>
        <v/>
      </c>
    </row>
    <row r="1996" spans="1:9" x14ac:dyDescent="0.3">
      <c r="A1996" s="2">
        <v>1995</v>
      </c>
      <c r="B1996" s="4" t="s">
        <v>32</v>
      </c>
      <c r="C1996" s="3" t="str">
        <f>"TFC000001303"</f>
        <v>TFC000001303</v>
      </c>
      <c r="D1996" s="3" t="str">
        <f>"F800-20-1453-(AR 3.1)"</f>
        <v>F800-20-1453-(AR 3.1)</v>
      </c>
      <c r="E1996" s="3" t="str">
        <f>"Goldilocks for dinner"</f>
        <v>Goldilocks for dinner</v>
      </c>
      <c r="F1996" s="3" t="str">
        <f>"written by Susan McElroy Montanari ; illustrated by Jake Parker"</f>
        <v>written by Susan McElroy Montanari ; illustrated by Jake Parker</v>
      </c>
      <c r="G1996" s="3" t="str">
        <f>"Schwartz &amp; Wade Books"</f>
        <v>Schwartz &amp; Wade Books</v>
      </c>
      <c r="H1996" s="2" t="str">
        <f>"2019"</f>
        <v>2019</v>
      </c>
      <c r="I1996" s="3" t="str">
        <f>""</f>
        <v/>
      </c>
    </row>
    <row r="1997" spans="1:9" x14ac:dyDescent="0.3">
      <c r="A1997" s="2">
        <v>1996</v>
      </c>
      <c r="B1997" s="4" t="s">
        <v>32</v>
      </c>
      <c r="C1997" s="3" t="str">
        <f>"TFC000001304"</f>
        <v>TFC000001304</v>
      </c>
      <c r="D1997" s="3" t="str">
        <f>"F800-20-1454-(AR 3.1)"</f>
        <v>F800-20-1454-(AR 3.1)</v>
      </c>
      <c r="E1997" s="3" t="str">
        <f>"Dogs don't wear sneakers"</f>
        <v>Dogs don't wear sneakers</v>
      </c>
      <c r="F1997" s="3" t="str">
        <f>"by Laura Numeroff ; illustrated by Joe Mathieu"</f>
        <v>by Laura Numeroff ; illustrated by Joe Mathieu</v>
      </c>
      <c r="G1997" s="3" t="str">
        <f>"Aladdin Paperbacks"</f>
        <v>Aladdin Paperbacks</v>
      </c>
      <c r="H1997" s="2" t="str">
        <f>"1996"</f>
        <v>1996</v>
      </c>
      <c r="I1997" s="3" t="str">
        <f>""</f>
        <v/>
      </c>
    </row>
    <row r="1998" spans="1:9" x14ac:dyDescent="0.3">
      <c r="A1998" s="2">
        <v>1997</v>
      </c>
      <c r="B1998" s="4" t="s">
        <v>32</v>
      </c>
      <c r="C1998" s="3" t="str">
        <f>"TFC000001305"</f>
        <v>TFC000001305</v>
      </c>
      <c r="D1998" s="3" t="str">
        <f>"F800-20-1455-(AR 3.1)"</f>
        <v>F800-20-1455-(AR 3.1)</v>
      </c>
      <c r="E1998" s="3" t="str">
        <f>"Dolphins at daybreak"</f>
        <v>Dolphins at daybreak</v>
      </c>
      <c r="F1998" s="3" t="str">
        <f>"by Mary Pope Osborne ; illustrated by Sal Murdocca"</f>
        <v>by Mary Pope Osborne ; illustrated by Sal Murdocca</v>
      </c>
      <c r="G1998" s="3" t="str">
        <f>"Random House"</f>
        <v>Random House</v>
      </c>
      <c r="H1998" s="2" t="str">
        <f>"1997"</f>
        <v>1997</v>
      </c>
      <c r="I1998" s="3" t="str">
        <f>""</f>
        <v/>
      </c>
    </row>
    <row r="1999" spans="1:9" x14ac:dyDescent="0.3">
      <c r="A1999" s="2">
        <v>1998</v>
      </c>
      <c r="B1999" s="4" t="s">
        <v>32</v>
      </c>
      <c r="C1999" s="3" t="str">
        <f>"TFC000001306"</f>
        <v>TFC000001306</v>
      </c>
      <c r="D1999" s="3" t="str">
        <f>"F800-20-1456-(AR 3.1)"</f>
        <v>F800-20-1456-(AR 3.1)</v>
      </c>
      <c r="E1999" s="3" t="str">
        <f>"Tonight on the Titanic"</f>
        <v>Tonight on the Titanic</v>
      </c>
      <c r="F1999" s="3" t="str">
        <f>"by Mary Pope Osborne ; illustrated by Sal Murdocca"</f>
        <v>by Mary Pope Osborne ; illustrated by Sal Murdocca</v>
      </c>
      <c r="G1999" s="3" t="str">
        <f>"Random House"</f>
        <v>Random House</v>
      </c>
      <c r="H1999" s="2" t="str">
        <f>"1999"</f>
        <v>1999</v>
      </c>
      <c r="I1999" s="3" t="str">
        <f>""</f>
        <v/>
      </c>
    </row>
    <row r="2000" spans="1:9" x14ac:dyDescent="0.3">
      <c r="A2000" s="2">
        <v>1999</v>
      </c>
      <c r="B2000" s="4" t="s">
        <v>32</v>
      </c>
      <c r="C2000" s="3" t="str">
        <f>"TFC000001308"</f>
        <v>TFC000001308</v>
      </c>
      <c r="D2000" s="3" t="str">
        <f>"F800-20-1483-(AR 3.1)=2"</f>
        <v>F800-20-1483-(AR 3.1)=2</v>
      </c>
      <c r="E2000" s="3" t="str">
        <f>"Junie B. Jones cheater pants"</f>
        <v>Junie B. Jones cheater pants</v>
      </c>
      <c r="F2000" s="3" t="str">
        <f>"by Barbara Park ; illustrated by Denise Brunkus"</f>
        <v>by Barbara Park ; illustrated by Denise Brunkus</v>
      </c>
      <c r="G2000" s="3" t="str">
        <f>"Random House"</f>
        <v>Random House</v>
      </c>
      <c r="H2000" s="2" t="str">
        <f>"2003"</f>
        <v>2003</v>
      </c>
      <c r="I2000" s="3" t="str">
        <f>""</f>
        <v/>
      </c>
    </row>
    <row r="2001" spans="1:9" x14ac:dyDescent="0.3">
      <c r="A2001" s="2">
        <v>2000</v>
      </c>
      <c r="B2001" s="4" t="s">
        <v>32</v>
      </c>
      <c r="C2001" s="3" t="str">
        <f>"TFC000001309"</f>
        <v>TFC000001309</v>
      </c>
      <c r="D2001" s="3" t="str">
        <f>"F800-20-1458-(AR 3.1)"</f>
        <v>F800-20-1458-(AR 3.1)</v>
      </c>
      <c r="E2001" s="3" t="str">
        <f>"(A)different pond"</f>
        <v>(A)different pond</v>
      </c>
      <c r="F2001" s="3" t="str">
        <f>"written by Bao Phi ; illustrated by Thi Bui"</f>
        <v>written by Bao Phi ; illustrated by Thi Bui</v>
      </c>
      <c r="G2001" s="3" t="str">
        <f>"Capstone Young Reade"</f>
        <v>Capstone Young Reade</v>
      </c>
      <c r="H2001" s="2" t="str">
        <f>"2017"</f>
        <v>2017</v>
      </c>
      <c r="I2001" s="3" t="str">
        <f>""</f>
        <v/>
      </c>
    </row>
    <row r="2002" spans="1:9" x14ac:dyDescent="0.3">
      <c r="A2002" s="2">
        <v>2001</v>
      </c>
      <c r="B2002" s="4" t="s">
        <v>32</v>
      </c>
      <c r="C2002" s="3" t="str">
        <f>"TFC000001310"</f>
        <v>TFC000001310</v>
      </c>
      <c r="D2002" s="3" t="str">
        <f>"F800-20-1459-(AR 3.1)"</f>
        <v>F800-20-1459-(AR 3.1)</v>
      </c>
      <c r="E2002" s="3" t="str">
        <f>"(The)case of the glow-in-the-dark ghost"</f>
        <v>(The)case of the glow-in-the-dark ghost</v>
      </c>
      <c r="F2002" s="3" t="str">
        <f>"by James Preller ; illustrated by Jamie Smith"</f>
        <v>by James Preller ; illustrated by Jamie Smith</v>
      </c>
      <c r="G2002" s="3" t="str">
        <f>"Feiwel and Friends"</f>
        <v>Feiwel and Friends</v>
      </c>
      <c r="H2002" s="2" t="str">
        <f>"2017"</f>
        <v>2017</v>
      </c>
      <c r="I2002" s="3" t="str">
        <f>""</f>
        <v/>
      </c>
    </row>
    <row r="2003" spans="1:9" x14ac:dyDescent="0.3">
      <c r="A2003" s="2">
        <v>2002</v>
      </c>
      <c r="B2003" s="4" t="s">
        <v>32</v>
      </c>
      <c r="C2003" s="3" t="str">
        <f>"TFC000001311"</f>
        <v>TFC000001311</v>
      </c>
      <c r="D2003" s="3" t="str">
        <f>"F800-20-1460-(AR 3.1)"</f>
        <v>F800-20-1460-(AR 3.1)</v>
      </c>
      <c r="E2003" s="3" t="str">
        <f>"(The)case of the mummy mystery"</f>
        <v>(The)case of the mummy mystery</v>
      </c>
      <c r="F2003" s="3" t="str">
        <f>"by James Preller ; illustrated by John Speirs"</f>
        <v>by James Preller ; illustrated by John Speirs</v>
      </c>
      <c r="G2003" s="3" t="str">
        <f>"Feiwel and Friends"</f>
        <v>Feiwel and Friends</v>
      </c>
      <c r="H2003" s="2" t="str">
        <f>"2017"</f>
        <v>2017</v>
      </c>
      <c r="I2003" s="3" t="str">
        <f>""</f>
        <v/>
      </c>
    </row>
    <row r="2004" spans="1:9" x14ac:dyDescent="0.3">
      <c r="A2004" s="2">
        <v>2003</v>
      </c>
      <c r="B2004" s="4" t="s">
        <v>32</v>
      </c>
      <c r="C2004" s="3" t="str">
        <f>"TFC000001312"</f>
        <v>TFC000001312</v>
      </c>
      <c r="D2004" s="3" t="str">
        <f>"F800-20-1461-(AR 3.1)"</f>
        <v>F800-20-1461-(AR 3.1)</v>
      </c>
      <c r="E2004" s="3" t="str">
        <f>"Uni the unicorn and the dream come true"</f>
        <v>Uni the unicorn and the dream come true</v>
      </c>
      <c r="F2004" s="3" t="str">
        <f>"Amy Krouse Rosenthal ; illustrated by Brigette Barrager"</f>
        <v>Amy Krouse Rosenthal ; illustrated by Brigette Barrager</v>
      </c>
      <c r="G2004" s="3" t="str">
        <f>"Random House"</f>
        <v>Random House</v>
      </c>
      <c r="H2004" s="2" t="str">
        <f>"2017"</f>
        <v>2017</v>
      </c>
      <c r="I2004" s="3" t="str">
        <f>""</f>
        <v/>
      </c>
    </row>
    <row r="2005" spans="1:9" x14ac:dyDescent="0.3">
      <c r="A2005" s="2">
        <v>2004</v>
      </c>
      <c r="B2005" s="4" t="s">
        <v>32</v>
      </c>
      <c r="C2005" s="3" t="str">
        <f>"TFC000001313"</f>
        <v>TFC000001313</v>
      </c>
      <c r="D2005" s="3" t="str">
        <f>"F800-20-1462-(AR 3.1)"</f>
        <v>F800-20-1462-(AR 3.1)</v>
      </c>
      <c r="E2005" s="3" t="str">
        <f>"Mr. Putter &amp; Tabby write the book"</f>
        <v>Mr. Putter &amp; Tabby write the book</v>
      </c>
      <c r="F2005" s="3" t="str">
        <f>"Cynthia Rylant ; illustrated by Arthur Howard"</f>
        <v>Cynthia Rylant ; illustrated by Arthur Howard</v>
      </c>
      <c r="G2005" s="3" t="str">
        <f>"Harcourt Mifflin Harcourt"</f>
        <v>Harcourt Mifflin Harcourt</v>
      </c>
      <c r="H2005" s="2" t="str">
        <f>"2004"</f>
        <v>2004</v>
      </c>
      <c r="I2005" s="3" t="str">
        <f>""</f>
        <v/>
      </c>
    </row>
    <row r="2006" spans="1:9" x14ac:dyDescent="0.3">
      <c r="A2006" s="2">
        <v>2005</v>
      </c>
      <c r="B2006" s="4" t="s">
        <v>32</v>
      </c>
      <c r="C2006" s="3" t="str">
        <f>"TFC000001314"</f>
        <v>TFC000001314</v>
      </c>
      <c r="D2006" s="3" t="str">
        <f>"F800-20-1463-(AR 3.1)"</f>
        <v>F800-20-1463-(AR 3.1)</v>
      </c>
      <c r="E2006" s="3" t="str">
        <f>"(A)magic crystal?"</f>
        <v>(A)magic crystal?</v>
      </c>
      <c r="F2006" s="3" t="str">
        <f>"by Louis Sachar ; illustrated by Amy Wummer"</f>
        <v>by Louis Sachar ; illustrated by Amy Wummer</v>
      </c>
      <c r="G2006" s="3" t="str">
        <f>"Random House"</f>
        <v>Random House</v>
      </c>
      <c r="H2006" s="2" t="str">
        <f>"2015"</f>
        <v>2015</v>
      </c>
      <c r="I2006" s="3" t="str">
        <f>""</f>
        <v/>
      </c>
    </row>
    <row r="2007" spans="1:9" x14ac:dyDescent="0.3">
      <c r="A2007" s="2">
        <v>2006</v>
      </c>
      <c r="B2007" s="4" t="s">
        <v>32</v>
      </c>
      <c r="C2007" s="3" t="str">
        <f>"TFC000001315"</f>
        <v>TFC000001315</v>
      </c>
      <c r="D2007" s="3" t="str">
        <f>"F800-20-1464-(AR 3.1)"</f>
        <v>F800-20-1464-(AR 3.1)</v>
      </c>
      <c r="E2007" s="3" t="str">
        <f>"Horrid Henry and tricks the tooth fairy"</f>
        <v>Horrid Henry and tricks the tooth fairy</v>
      </c>
      <c r="F2007" s="3" t="str">
        <f>"written by Francesca Simon ; illustrated by Tony Ross"</f>
        <v>written by Francesca Simon ; illustrated by Tony Ross</v>
      </c>
      <c r="G2007" s="3" t="str">
        <f>"Orion"</f>
        <v>Orion</v>
      </c>
      <c r="H2007" s="2" t="str">
        <f>"2000"</f>
        <v>2000</v>
      </c>
      <c r="I2007" s="3" t="str">
        <f>""</f>
        <v/>
      </c>
    </row>
    <row r="2008" spans="1:9" x14ac:dyDescent="0.3">
      <c r="A2008" s="2">
        <v>2007</v>
      </c>
      <c r="B2008" s="4" t="s">
        <v>32</v>
      </c>
      <c r="C2008" s="3" t="str">
        <f>"TFC000001316"</f>
        <v>TFC000001316</v>
      </c>
      <c r="D2008" s="3" t="str">
        <f>"F800-20-1465-(AR 3.1)"</f>
        <v>F800-20-1465-(AR 3.1)</v>
      </c>
      <c r="E2008" s="3" t="str">
        <f>"(The)dark"</f>
        <v>(The)dark</v>
      </c>
      <c r="F2008" s="3" t="str">
        <f>"by Lemony Snicket ; illustrated by Jon Klassen"</f>
        <v>by Lemony Snicket ; illustrated by Jon Klassen</v>
      </c>
      <c r="G2008" s="3" t="str">
        <f>"Little, Brown and Company"</f>
        <v>Little, Brown and Company</v>
      </c>
      <c r="H2008" s="2" t="str">
        <f>"2013"</f>
        <v>2013</v>
      </c>
      <c r="I2008" s="3" t="str">
        <f>""</f>
        <v/>
      </c>
    </row>
    <row r="2009" spans="1:9" x14ac:dyDescent="0.3">
      <c r="A2009" s="2">
        <v>2008</v>
      </c>
      <c r="B2009" s="4" t="s">
        <v>32</v>
      </c>
      <c r="C2009" s="3" t="str">
        <f>"TFC000001317"</f>
        <v>TFC000001317</v>
      </c>
      <c r="D2009" s="3" t="str">
        <f>"F800-20-1466-(AR 3.1)"</f>
        <v>F800-20-1466-(AR 3.1)</v>
      </c>
      <c r="E2009" s="3" t="str">
        <f>"Reptile raid"</f>
        <v>Reptile raid</v>
      </c>
      <c r="F2009" s="3" t="str">
        <f>"by Laurie S. Sutton ; illustrated by Dario Brizuela"</f>
        <v>by Laurie S. Sutton ; illustrated by Dario Brizuela</v>
      </c>
      <c r="G2009" s="3" t="str">
        <f>"Picture Window Books"</f>
        <v>Picture Window Books</v>
      </c>
      <c r="H2009" s="2" t="str">
        <f>"2020"</f>
        <v>2020</v>
      </c>
      <c r="I2009" s="3" t="str">
        <f>""</f>
        <v/>
      </c>
    </row>
    <row r="2010" spans="1:9" x14ac:dyDescent="0.3">
      <c r="A2010" s="2">
        <v>2009</v>
      </c>
      <c r="B2010" s="4" t="s">
        <v>32</v>
      </c>
      <c r="C2010" s="3" t="str">
        <f>"TFC000001318"</f>
        <v>TFC000001318</v>
      </c>
      <c r="D2010" s="3" t="str">
        <f>"F800-20-1467-(AR 3.1)"</f>
        <v>F800-20-1467-(AR 3.1)</v>
      </c>
      <c r="E2010" s="3" t="str">
        <f>"Reading beauty"</f>
        <v>Reading beauty</v>
      </c>
      <c r="F2010" s="3" t="str">
        <f>"by Deborah Underwood ; illustrated by Meg Hunt"</f>
        <v>by Deborah Underwood ; illustrated by Meg Hunt</v>
      </c>
      <c r="G2010" s="3" t="str">
        <f>"Chronicle Books"</f>
        <v>Chronicle Books</v>
      </c>
      <c r="H2010" s="2" t="str">
        <f>"2019"</f>
        <v>2019</v>
      </c>
      <c r="I2010" s="3" t="str">
        <f>""</f>
        <v/>
      </c>
    </row>
    <row r="2011" spans="1:9" x14ac:dyDescent="0.3">
      <c r="A2011" s="2">
        <v>2010</v>
      </c>
      <c r="B2011" s="4" t="s">
        <v>32</v>
      </c>
      <c r="C2011" s="3" t="str">
        <f>"TFC000001319"</f>
        <v>TFC000001319</v>
      </c>
      <c r="D2011" s="3" t="str">
        <f>"F800-20-1468-(AR 3.1)"</f>
        <v>F800-20-1468-(AR 3.1)</v>
      </c>
      <c r="E2011" s="3" t="str">
        <f>"Dragon masters. 1, rise of the earth dragon"</f>
        <v>Dragon masters. 1, rise of the earth dragon</v>
      </c>
      <c r="F2011" s="3" t="str">
        <f>"by Tracey West ; illustrated by Graham Howells"</f>
        <v>by Tracey West ; illustrated by Graham Howells</v>
      </c>
      <c r="G2011" s="3" t="str">
        <f>"Scholastic"</f>
        <v>Scholastic</v>
      </c>
      <c r="H2011" s="2" t="str">
        <f>"2014"</f>
        <v>2014</v>
      </c>
      <c r="I2011" s="3" t="str">
        <f>""</f>
        <v/>
      </c>
    </row>
    <row r="2012" spans="1:9" x14ac:dyDescent="0.3">
      <c r="A2012" s="2">
        <v>2011</v>
      </c>
      <c r="B2012" s="4" t="s">
        <v>32</v>
      </c>
      <c r="C2012" s="3" t="str">
        <f>"TFC000001320"</f>
        <v>TFC000001320</v>
      </c>
      <c r="D2012" s="3" t="str">
        <f>"F800-20-1469-(AR 3.1)"</f>
        <v>F800-20-1469-(AR 3.1)</v>
      </c>
      <c r="E2012" s="3" t="str">
        <f>"(The)sad little fact"</f>
        <v>(The)sad little fact</v>
      </c>
      <c r="F2012" s="3" t="str">
        <f>"written by Jonah Winter ; illustrated by Pete Oswald"</f>
        <v>written by Jonah Winter ; illustrated by Pete Oswald</v>
      </c>
      <c r="G2012" s="3" t="str">
        <f>"Schwartz &amp; Wade Books"</f>
        <v>Schwartz &amp; Wade Books</v>
      </c>
      <c r="H2012" s="2" t="str">
        <f>"2019"</f>
        <v>2019</v>
      </c>
      <c r="I2012" s="3" t="str">
        <f>""</f>
        <v/>
      </c>
    </row>
    <row r="2013" spans="1:9" x14ac:dyDescent="0.3">
      <c r="A2013" s="2">
        <v>2012</v>
      </c>
      <c r="B2013" s="4" t="s">
        <v>32</v>
      </c>
      <c r="C2013" s="3" t="str">
        <f>"TFC000001321"</f>
        <v>TFC000001321</v>
      </c>
      <c r="D2013" s="3" t="str">
        <f>"F800-20-1470-(AR 3.1)"</f>
        <v>F800-20-1470-(AR 3.1)</v>
      </c>
      <c r="E2013" s="3" t="str">
        <f>"Sweety"</f>
        <v>Sweety</v>
      </c>
      <c r="F2013" s="3" t="str">
        <f>"Andrea Zuill"</f>
        <v>Andrea Zuill</v>
      </c>
      <c r="G2013" s="3" t="str">
        <f>"Schwartz &amp; Wade Books"</f>
        <v>Schwartz &amp; Wade Books</v>
      </c>
      <c r="H2013" s="2" t="str">
        <f>"2019"</f>
        <v>2019</v>
      </c>
      <c r="I2013" s="3" t="str">
        <f>""</f>
        <v/>
      </c>
    </row>
    <row r="2014" spans="1:9" x14ac:dyDescent="0.3">
      <c r="A2014" s="2">
        <v>2013</v>
      </c>
      <c r="B2014" s="4" t="s">
        <v>32</v>
      </c>
      <c r="C2014" s="3" t="str">
        <f>"TFC000001322"</f>
        <v>TFC000001322</v>
      </c>
      <c r="D2014" s="3" t="str">
        <f>"F800-20-1471-(AR 3.1)"</f>
        <v>F800-20-1471-(AR 3.1)</v>
      </c>
      <c r="E2014" s="3" t="str">
        <f>"Rainbow Fish discovers the deep blue sea"</f>
        <v>Rainbow Fish discovers the deep blue sea</v>
      </c>
      <c r="F2014" s="3" t="str">
        <f>"Marcus Pfister"</f>
        <v>Marcus Pfister</v>
      </c>
      <c r="G2014" s="3" t="str">
        <f>"North South Books"</f>
        <v>North South Books</v>
      </c>
      <c r="H2014" s="2" t="str">
        <f>"2017"</f>
        <v>2017</v>
      </c>
      <c r="I2014" s="3" t="str">
        <f>""</f>
        <v/>
      </c>
    </row>
    <row r="2015" spans="1:9" x14ac:dyDescent="0.3">
      <c r="A2015" s="2">
        <v>2014</v>
      </c>
      <c r="B2015" s="4" t="s">
        <v>32</v>
      </c>
      <c r="C2015" s="3" t="str">
        <f>"TFC000001323"</f>
        <v>TFC000001323</v>
      </c>
      <c r="D2015" s="3" t="str">
        <f>"F800-20-1472-(AR 3.1)"</f>
        <v>F800-20-1472-(AR 3.1)</v>
      </c>
      <c r="E2015" s="3" t="str">
        <f>"Four mice feep in the jungle"</f>
        <v>Four mice feep in the jungle</v>
      </c>
      <c r="F2015" s="3" t="str">
        <f>"by Geronimo Stilton ; illustrated by Matt Wolf, Larry Keys"</f>
        <v>by Geronimo Stilton ; illustrated by Matt Wolf, Larry Keys</v>
      </c>
      <c r="G2015" s="3" t="str">
        <f>"Scholastic"</f>
        <v>Scholastic</v>
      </c>
      <c r="H2015" s="2" t="str">
        <f>"2004"</f>
        <v>2004</v>
      </c>
      <c r="I2015" s="3" t="str">
        <f>""</f>
        <v/>
      </c>
    </row>
    <row r="2016" spans="1:9" x14ac:dyDescent="0.3">
      <c r="A2016" s="2">
        <v>2015</v>
      </c>
      <c r="B2016" s="4" t="s">
        <v>32</v>
      </c>
      <c r="C2016" s="3" t="str">
        <f>"TFC000001324"</f>
        <v>TFC000001324</v>
      </c>
      <c r="D2016" s="3" t="str">
        <f>"F800-20-1473-(AR 3.1)"</f>
        <v>F800-20-1473-(AR 3.1)</v>
      </c>
      <c r="E2016" s="3" t="str">
        <f>"It's halloween, you fraidy mouse!"</f>
        <v>It's halloween, you fraidy mouse!</v>
      </c>
      <c r="F2016" s="3" t="str">
        <f>"by Geronimo Stilton ; illustrations by Matt Wolf"</f>
        <v>by Geronimo Stilton ; illustrations by Matt Wolf</v>
      </c>
      <c r="G2016" s="3" t="str">
        <f>"Scholastic"</f>
        <v>Scholastic</v>
      </c>
      <c r="H2016" s="2" t="str">
        <f>"2004"</f>
        <v>2004</v>
      </c>
      <c r="I2016" s="3" t="str">
        <f>""</f>
        <v/>
      </c>
    </row>
    <row r="2017" spans="1:9" x14ac:dyDescent="0.3">
      <c r="A2017" s="2">
        <v>2016</v>
      </c>
      <c r="B2017" s="4" t="s">
        <v>32</v>
      </c>
      <c r="C2017" s="3" t="str">
        <f>"TFC000001325"</f>
        <v>TFC000001325</v>
      </c>
      <c r="D2017" s="3" t="str">
        <f>"F800-20-1474-(AR 3.1)"</f>
        <v>F800-20-1474-(AR 3.1)</v>
      </c>
      <c r="E2017" s="3" t="str">
        <f>"(A)cheese-colored camper"</f>
        <v>(A)cheese-colored camper</v>
      </c>
      <c r="F2017" s="3" t="str">
        <f>"by Geronimo Stilton ; illustrations by Larry Keys, Topika Topraska"</f>
        <v>by Geronimo Stilton ; illustrations by Larry Keys, Topika Topraska</v>
      </c>
      <c r="G2017" s="3" t="str">
        <f>"Scholastic"</f>
        <v>Scholastic</v>
      </c>
      <c r="H2017" s="2" t="str">
        <f>"2005"</f>
        <v>2005</v>
      </c>
      <c r="I2017" s="3" t="str">
        <f>""</f>
        <v/>
      </c>
    </row>
    <row r="2018" spans="1:9" x14ac:dyDescent="0.3">
      <c r="A2018" s="2">
        <v>2017</v>
      </c>
      <c r="B2018" s="4" t="s">
        <v>32</v>
      </c>
      <c r="C2018" s="3" t="str">
        <f>"TFC000001326"</f>
        <v>TFC000001326</v>
      </c>
      <c r="D2018" s="3" t="str">
        <f>"F800-20-1475-(AR 3.1)"</f>
        <v>F800-20-1475-(AR 3.1)</v>
      </c>
      <c r="E2018" s="3" t="str">
        <f>"(The)secret of cacklefur castle"</f>
        <v>(The)secret of cacklefur castle</v>
      </c>
      <c r="F2018" s="3" t="str">
        <f>"by Geronimo Stilton ; illustrated by Larry Keys, Blasco Tabasco, Tofina Sakkarina"</f>
        <v>by Geronimo Stilton ; illustrated by Larry Keys, Blasco Tabasco, Tofina Sakkarina</v>
      </c>
      <c r="G2018" s="3" t="str">
        <f>"Scholastic"</f>
        <v>Scholastic</v>
      </c>
      <c r="H2018" s="2" t="str">
        <f>"2005"</f>
        <v>2005</v>
      </c>
      <c r="I2018" s="3" t="str">
        <f>""</f>
        <v/>
      </c>
    </row>
    <row r="2019" spans="1:9" x14ac:dyDescent="0.3">
      <c r="A2019" s="2">
        <v>2018</v>
      </c>
      <c r="B2019" s="4" t="s">
        <v>32</v>
      </c>
      <c r="C2019" s="3" t="str">
        <f>"TFC000001327"</f>
        <v>TFC000001327</v>
      </c>
      <c r="D2019" s="3" t="str">
        <f>"F900-20-1482-(AR 3.1)"</f>
        <v>F900-20-1482-(AR 3.1)</v>
      </c>
      <c r="E2019" s="3" t="str">
        <f>"Harriet Tubman : follow the North Star"</f>
        <v>Harriet Tubman : follow the North Star</v>
      </c>
      <c r="F2019" s="3" t="str">
        <f>"by Violet Findley ; illustrated by Marcy Ramsey"</f>
        <v>by Violet Findley ; illustrated by Marcy Ramsey</v>
      </c>
      <c r="G2019" s="3" t="str">
        <f>"Scholastic"</f>
        <v>Scholastic</v>
      </c>
      <c r="H2019" s="2" t="str">
        <f>"2007"</f>
        <v>2007</v>
      </c>
      <c r="I2019" s="3" t="str">
        <f>""</f>
        <v/>
      </c>
    </row>
    <row r="2020" spans="1:9" x14ac:dyDescent="0.3">
      <c r="A2020" s="2">
        <v>2019</v>
      </c>
      <c r="B2020" s="4" t="s">
        <v>32</v>
      </c>
      <c r="C2020" s="3" t="str">
        <f>"TFC000003464"</f>
        <v>TFC000003464</v>
      </c>
      <c r="D2020" s="3" t="str">
        <f>"F300-21-0505-(AR 3.1)"</f>
        <v>F300-21-0505-(AR 3.1)</v>
      </c>
      <c r="E2020" s="3" t="str">
        <f>"Martina the beautiful cockroach : a Cuban folktale"</f>
        <v>Martina the beautiful cockroach : a Cuban folktale</v>
      </c>
      <c r="F2020" s="3" t="str">
        <f>"retold by Carmen Agra Deedy ; illustrated by Michael Austin"</f>
        <v>retold by Carmen Agra Deedy ; illustrated by Michael Austin</v>
      </c>
      <c r="G2020" s="3" t="str">
        <f>"Peachtree Publishers"</f>
        <v>Peachtree Publishers</v>
      </c>
      <c r="H2020" s="2" t="str">
        <f>"2014"</f>
        <v>2014</v>
      </c>
      <c r="I2020" s="3" t="str">
        <f>""</f>
        <v/>
      </c>
    </row>
    <row r="2021" spans="1:9" x14ac:dyDescent="0.3">
      <c r="A2021" s="2">
        <v>2020</v>
      </c>
      <c r="B2021" s="4" t="s">
        <v>32</v>
      </c>
      <c r="C2021" s="3" t="str">
        <f>"TFC000003006"</f>
        <v>TFC000003006</v>
      </c>
      <c r="D2021" s="3" t="str">
        <f>"F800-20-1480-(AR 3.1)"</f>
        <v>F800-20-1480-(AR 3.1)</v>
      </c>
      <c r="E2021" s="3" t="str">
        <f>"5 worlds. 3, the red maze"</f>
        <v>5 worlds. 3, the red maze</v>
      </c>
      <c r="F2021" s="3" t="str">
        <f>"Mark Siegel, Alexis Siegel ; illustrated by Xanthe Bouma, Matt Rockefeller, Boya Sun"</f>
        <v>Mark Siegel, Alexis Siegel ; illustrated by Xanthe Bouma, Matt Rockefeller, Boya Sun</v>
      </c>
      <c r="G2021" s="3" t="str">
        <f>"Random House"</f>
        <v>Random House</v>
      </c>
      <c r="H2021" s="2" t="str">
        <f>"2019"</f>
        <v>2019</v>
      </c>
      <c r="I2021" s="3" t="str">
        <f>""</f>
        <v/>
      </c>
    </row>
    <row r="2022" spans="1:9" x14ac:dyDescent="0.3">
      <c r="A2022" s="2">
        <v>2021</v>
      </c>
      <c r="B2022" s="4" t="s">
        <v>32</v>
      </c>
      <c r="C2022" s="3" t="str">
        <f>"TFC000002870"</f>
        <v>TFC000002870</v>
      </c>
      <c r="D2022" s="3" t="str">
        <f>"F800-20-1476-(AR 3.1)"</f>
        <v>F800-20-1476-(AR 3.1)</v>
      </c>
      <c r="E2022" s="3" t="str">
        <f>"At 1600 Pennsylvania Avenue"</f>
        <v>At 1600 Pennsylvania Avenue</v>
      </c>
      <c r="F2022" s="3" t="str">
        <f>"by Crystal Wirth ; illustrated by Jared Lee"</f>
        <v>by Crystal Wirth ; illustrated by Jared Lee</v>
      </c>
      <c r="G2022" s="3" t="str">
        <f>"Scholastic"</f>
        <v>Scholastic</v>
      </c>
      <c r="H2022" s="2" t="str">
        <f>"2002"</f>
        <v>2002</v>
      </c>
      <c r="I2022" s="3" t="str">
        <f>""</f>
        <v/>
      </c>
    </row>
    <row r="2023" spans="1:9" x14ac:dyDescent="0.3">
      <c r="A2023" s="2">
        <v>2022</v>
      </c>
      <c r="B2023" s="4" t="s">
        <v>32</v>
      </c>
      <c r="C2023" s="3" t="str">
        <f>"TFC000002871"</f>
        <v>TFC000002871</v>
      </c>
      <c r="D2023" s="3" t="str">
        <f>"F800-20-1477-(AR 3.1)"</f>
        <v>F800-20-1477-(AR 3.1)</v>
      </c>
      <c r="E2023" s="3" t="str">
        <f>"Love, splat"</f>
        <v>Love, splat</v>
      </c>
      <c r="F2023" s="3" t="str">
        <f>"Rob Scotton"</f>
        <v>Rob Scotton</v>
      </c>
      <c r="G2023" s="3" t="str">
        <f>"HarperCollins"</f>
        <v>HarperCollins</v>
      </c>
      <c r="H2023" s="2" t="str">
        <f>"2008"</f>
        <v>2008</v>
      </c>
      <c r="I2023" s="3" t="str">
        <f>""</f>
        <v/>
      </c>
    </row>
    <row r="2024" spans="1:9" x14ac:dyDescent="0.3">
      <c r="A2024" s="2">
        <v>2023</v>
      </c>
      <c r="B2024" s="4" t="s">
        <v>32</v>
      </c>
      <c r="C2024" s="3" t="str">
        <f>"TFC000002872"</f>
        <v>TFC000002872</v>
      </c>
      <c r="D2024" s="3" t="str">
        <f>"F800-20-1478-(AR 3.1)"</f>
        <v>F800-20-1478-(AR 3.1)</v>
      </c>
      <c r="E2024" s="3" t="str">
        <f>"Ruby the copycat"</f>
        <v>Ruby the copycat</v>
      </c>
      <c r="F2024" s="3" t="str">
        <f>"by Peggy Rathmann"</f>
        <v>by Peggy Rathmann</v>
      </c>
      <c r="G2024" s="3" t="str">
        <f>"Scholastic"</f>
        <v>Scholastic</v>
      </c>
      <c r="H2024" s="2" t="str">
        <f>"1991"</f>
        <v>1991</v>
      </c>
      <c r="I2024" s="3" t="str">
        <f>""</f>
        <v/>
      </c>
    </row>
    <row r="2025" spans="1:9" x14ac:dyDescent="0.3">
      <c r="A2025" s="2">
        <v>2024</v>
      </c>
      <c r="B2025" s="4" t="s">
        <v>32</v>
      </c>
      <c r="C2025" s="3" t="str">
        <f>"TFC000002955"</f>
        <v>TFC000002955</v>
      </c>
      <c r="D2025" s="3" t="str">
        <f>"F800-20-1479-(AR 3.1)"</f>
        <v>F800-20-1479-(AR 3.1)</v>
      </c>
      <c r="E2025" s="3" t="str">
        <f>"(The)great Gracie chase : stop that dog!"</f>
        <v>(The)great Gracie chase : stop that dog!</v>
      </c>
      <c r="F2025" s="3" t="str">
        <f>"by Cynthia Rylant ; illustrated by Mark Teague"</f>
        <v>by Cynthia Rylant ; illustrated by Mark Teague</v>
      </c>
      <c r="G2025" s="3" t="str">
        <f>"Scholastic"</f>
        <v>Scholastic</v>
      </c>
      <c r="H2025" s="2" t="str">
        <f>"2002"</f>
        <v>2002</v>
      </c>
      <c r="I2025" s="3" t="str">
        <f>""</f>
        <v/>
      </c>
    </row>
    <row r="2026" spans="1:9" x14ac:dyDescent="0.3">
      <c r="A2026" s="2">
        <v>2025</v>
      </c>
      <c r="B2026" s="4" t="s">
        <v>32</v>
      </c>
      <c r="C2026" s="3" t="str">
        <f>"TFC000003017"</f>
        <v>TFC000003017</v>
      </c>
      <c r="D2026" s="3" t="str">
        <f>"F800-20-1481-(AR 3.1)"</f>
        <v>F800-20-1481-(AR 3.1)</v>
      </c>
      <c r="E2026" s="3" t="str">
        <f>"Pacho Nacho"</f>
        <v>Pacho Nacho</v>
      </c>
      <c r="F2026" s="3" t="str">
        <f>"written by Silvia Lopez ; illustrated by Pablo Pino"</f>
        <v>written by Silvia Lopez ; illustrated by Pablo Pino</v>
      </c>
      <c r="G2026" s="3" t="str">
        <f>"Capstone Edition"</f>
        <v>Capstone Edition</v>
      </c>
      <c r="H2026" s="2" t="str">
        <f>"2019"</f>
        <v>2019</v>
      </c>
      <c r="I2026" s="3" t="str">
        <f>""</f>
        <v/>
      </c>
    </row>
    <row r="2027" spans="1:9" x14ac:dyDescent="0.3">
      <c r="A2027" s="2">
        <v>2026</v>
      </c>
      <c r="B2027" s="4" t="s">
        <v>32</v>
      </c>
      <c r="C2027" s="3" t="str">
        <f>"TFC000003199"</f>
        <v>TFC000003199</v>
      </c>
      <c r="D2027" s="3" t="str">
        <f>"F400-21-0506-(AR 3.1)"</f>
        <v>F400-21-0506-(AR 3.1)</v>
      </c>
      <c r="E2027" s="3" t="str">
        <f>"Plants seeds : a book about how living things grow"</f>
        <v>Plants seeds : a book about how living things grow</v>
      </c>
      <c r="F2027" s="3" t="str">
        <f>"written by Joanna Cole ; illustrated by Bruce Degen"</f>
        <v>written by Joanna Cole ; illustrated by Bruce Degen</v>
      </c>
      <c r="G2027" s="3" t="str">
        <f>"Scholastic"</f>
        <v>Scholastic</v>
      </c>
      <c r="H2027" s="2" t="str">
        <f>"1995"</f>
        <v>1995</v>
      </c>
      <c r="I2027" s="3" t="str">
        <f>""</f>
        <v/>
      </c>
    </row>
    <row r="2028" spans="1:9" x14ac:dyDescent="0.3">
      <c r="A2028" s="2">
        <v>2027</v>
      </c>
      <c r="B2028" s="4" t="s">
        <v>32</v>
      </c>
      <c r="C2028" s="3" t="str">
        <f>"TFC000003212"</f>
        <v>TFC000003212</v>
      </c>
      <c r="D2028" s="3" t="str">
        <f>"F400-21-0507-(AR 3.1)"</f>
        <v>F400-21-0507-(AR 3.1)</v>
      </c>
      <c r="E2028" s="3" t="str">
        <f>"Dinosaur eggs"</f>
        <v>Dinosaur eggs</v>
      </c>
      <c r="F2028" s="3" t="str">
        <f>"by Jennifer Dussling ; illustrated by Pamela Johnson"</f>
        <v>by Jennifer Dussling ; illustrated by Pamela Johnson</v>
      </c>
      <c r="G2028" s="3" t="str">
        <f>"Penguin Young Readers"</f>
        <v>Penguin Young Readers</v>
      </c>
      <c r="H2028" s="2" t="str">
        <f>"2012"</f>
        <v>2012</v>
      </c>
      <c r="I2028" s="3" t="str">
        <f>""</f>
        <v/>
      </c>
    </row>
    <row r="2029" spans="1:9" x14ac:dyDescent="0.3">
      <c r="A2029" s="2">
        <v>2028</v>
      </c>
      <c r="B2029" s="4" t="s">
        <v>32</v>
      </c>
      <c r="C2029" s="3" t="str">
        <f>"TFC000003352"</f>
        <v>TFC000003352</v>
      </c>
      <c r="D2029" s="3" t="str">
        <f>"F800-21-0511-(AR 3.1)"</f>
        <v>F800-21-0511-(AR 3.1)</v>
      </c>
      <c r="E2029" s="3" t="str">
        <f>"Astrid &amp; Apollo and the soccer celebration"</f>
        <v>Astrid &amp; Apollo and the soccer celebration</v>
      </c>
      <c r="F2029" s="3" t="str">
        <f>"by V. T. Bidania ; illustrated by Dara Lashia Lee"</f>
        <v>by V. T. Bidania ; illustrated by Dara Lashia Lee</v>
      </c>
      <c r="G2029" s="3" t="str">
        <f>"Picture Window Books"</f>
        <v>Picture Window Books</v>
      </c>
      <c r="H2029" s="2" t="str">
        <f>"2021"</f>
        <v>2021</v>
      </c>
      <c r="I2029" s="3" t="str">
        <f>""</f>
        <v/>
      </c>
    </row>
    <row r="2030" spans="1:9" x14ac:dyDescent="0.3">
      <c r="A2030" s="2">
        <v>2029</v>
      </c>
      <c r="B2030" s="4" t="s">
        <v>32</v>
      </c>
      <c r="C2030" s="3" t="str">
        <f>"TFC000003353"</f>
        <v>TFC000003353</v>
      </c>
      <c r="D2030" s="3" t="str">
        <f>"F500-21-0508-(AR 3.1)"</f>
        <v>F500-21-0508-(AR 3.1)</v>
      </c>
      <c r="E2030" s="3" t="str">
        <f>"Care for your teeth"</f>
        <v>Care for your teeth</v>
      </c>
      <c r="F2030" s="3" t="str">
        <f>"by Martha E. H. Rustad"</f>
        <v>by Martha E. H. Rustad</v>
      </c>
      <c r="G2030" s="3" t="str">
        <f>"Pebble"</f>
        <v>Pebble</v>
      </c>
      <c r="H2030" s="2" t="str">
        <f>"2021"</f>
        <v>2021</v>
      </c>
      <c r="I2030" s="3" t="str">
        <f>""</f>
        <v/>
      </c>
    </row>
    <row r="2031" spans="1:9" x14ac:dyDescent="0.3">
      <c r="A2031" s="2">
        <v>2030</v>
      </c>
      <c r="B2031" s="4" t="s">
        <v>32</v>
      </c>
      <c r="C2031" s="3" t="str">
        <f>"TFC000003354"</f>
        <v>TFC000003354</v>
      </c>
      <c r="D2031" s="3" t="str">
        <f>"F500-21-0509-(AR 3.1)"</f>
        <v>F500-21-0509-(AR 3.1)</v>
      </c>
      <c r="E2031" s="3" t="str">
        <f>"Homes around the world"</f>
        <v>Homes around the world</v>
      </c>
      <c r="F2031" s="3" t="str">
        <f>"by Wil Mara"</f>
        <v>by Wil Mara</v>
      </c>
      <c r="G2031" s="3" t="str">
        <f>"Pebble, a Capstone imprint"</f>
        <v>Pebble, a Capstone imprint</v>
      </c>
      <c r="H2031" s="2" t="str">
        <f>"2021"</f>
        <v>2021</v>
      </c>
      <c r="I2031" s="3" t="str">
        <f>""</f>
        <v/>
      </c>
    </row>
    <row r="2032" spans="1:9" x14ac:dyDescent="0.3">
      <c r="A2032" s="2">
        <v>2031</v>
      </c>
      <c r="B2032" s="4" t="s">
        <v>32</v>
      </c>
      <c r="C2032" s="3" t="str">
        <f>"TFC000003355"</f>
        <v>TFC000003355</v>
      </c>
      <c r="D2032" s="3" t="str">
        <f>"F300-21-0504-(AR 3.1)"</f>
        <v>F300-21-0504-(AR 3.1)</v>
      </c>
      <c r="E2032" s="3" t="str">
        <f>"Pilots"</f>
        <v>Pilots</v>
      </c>
      <c r="F2032" s="3" t="str">
        <f>"by Mary Meinking"</f>
        <v>by Mary Meinking</v>
      </c>
      <c r="G2032" s="3" t="str">
        <f>"Pebble"</f>
        <v>Pebble</v>
      </c>
      <c r="H2032" s="2" t="str">
        <f>"2021"</f>
        <v>2021</v>
      </c>
      <c r="I2032" s="3" t="str">
        <f>""</f>
        <v/>
      </c>
    </row>
    <row r="2033" spans="1:9" x14ac:dyDescent="0.3">
      <c r="A2033" s="2">
        <v>2032</v>
      </c>
      <c r="B2033" s="4" t="s">
        <v>32</v>
      </c>
      <c r="C2033" s="3" t="str">
        <f>"TFC000003445"</f>
        <v>TFC000003445</v>
      </c>
      <c r="D2033" s="3" t="str">
        <f>"F800-21-0512-(AR 3.1)"</f>
        <v>F800-21-0512-(AR 3.1)</v>
      </c>
      <c r="E2033" s="3" t="str">
        <f>"Not-So-Lucky Lefty"</f>
        <v>Not-So-Lucky Lefty</v>
      </c>
      <c r="F2033" s="3" t="str">
        <f>"Megan McDonald, illustrated by Erwin Madrid"</f>
        <v>Megan McDonald, illustrated by Erwin Madrid</v>
      </c>
      <c r="G2033" s="3" t="str">
        <f>"Candlewick Press"</f>
        <v>Candlewick Press</v>
      </c>
      <c r="H2033" s="2" t="str">
        <f>"2018"</f>
        <v>2018</v>
      </c>
      <c r="I2033" s="3" t="str">
        <f>""</f>
        <v/>
      </c>
    </row>
    <row r="2034" spans="1:9" x14ac:dyDescent="0.3">
      <c r="A2034" s="2">
        <v>2033</v>
      </c>
      <c r="B2034" s="4" t="s">
        <v>32</v>
      </c>
      <c r="C2034" s="3" t="str">
        <f>"TFC000003563"</f>
        <v>TFC000003563</v>
      </c>
      <c r="D2034" s="3" t="str">
        <f>"F800-21-0514-(AR 3.1)"</f>
        <v>F800-21-0514-(AR 3.1)</v>
      </c>
      <c r="E2034" s="3" t="str">
        <f>"Monkey with a tool belt and the seaside shenanigans"</f>
        <v>Monkey with a tool belt and the seaside shenanigans</v>
      </c>
      <c r="F2034" s="3" t="str">
        <f>"by Chris Monroe"</f>
        <v>by Chris Monroe</v>
      </c>
      <c r="G2034" s="3" t="str">
        <f>"Carolrhoda Books"</f>
        <v>Carolrhoda Books</v>
      </c>
      <c r="H2034" s="2" t="str">
        <f>"2011"</f>
        <v>2011</v>
      </c>
      <c r="I2034" s="3" t="str">
        <f>""</f>
        <v/>
      </c>
    </row>
    <row r="2035" spans="1:9" x14ac:dyDescent="0.3">
      <c r="A2035" s="2">
        <v>2034</v>
      </c>
      <c r="B2035" s="4" t="s">
        <v>32</v>
      </c>
      <c r="C2035" s="3" t="str">
        <f>"TFC000003618"</f>
        <v>TFC000003618</v>
      </c>
      <c r="D2035" s="3" t="str">
        <f>"F800-21-0515-(AR 3.1)"</f>
        <v>F800-21-0515-(AR 3.1)</v>
      </c>
      <c r="E2035" s="3" t="str">
        <f>"Journey to the volcano palace"</f>
        <v>Journey to the volcano palace</v>
      </c>
      <c r="F2035" s="3" t="str">
        <f>"by Tony Abbott ; illustrated by David Merrell ; cover illustration by Tim Jessell"</f>
        <v>by Tony Abbott ; illustrated by David Merrell ; cover illustration by Tim Jessell</v>
      </c>
      <c r="G2035" s="3" t="str">
        <f>"Scholastic"</f>
        <v>Scholastic</v>
      </c>
      <c r="H2035" s="2" t="str">
        <f>"1999"</f>
        <v>1999</v>
      </c>
      <c r="I2035" s="3" t="str">
        <f>""</f>
        <v/>
      </c>
    </row>
    <row r="2036" spans="1:9" x14ac:dyDescent="0.3">
      <c r="A2036" s="2">
        <v>2035</v>
      </c>
      <c r="B2036" s="4" t="s">
        <v>32</v>
      </c>
      <c r="C2036" s="3" t="str">
        <f>"TFC000003674"</f>
        <v>TFC000003674</v>
      </c>
      <c r="D2036" s="3" t="str">
        <f>"F800-21-0516-(AR 3.1)"</f>
        <v>F800-21-0516-(AR 3.1)</v>
      </c>
      <c r="E2036" s="3" t="str">
        <f>"Dory Dory black sheep"</f>
        <v>Dory Dory black sheep</v>
      </c>
      <c r="F2036" s="3" t="str">
        <f>"by Abby Hanlon"</f>
        <v>by Abby Hanlon</v>
      </c>
      <c r="G2036" s="3" t="str">
        <f>"Puffin books"</f>
        <v>Puffin books</v>
      </c>
      <c r="H2036" s="2" t="str">
        <f>"2017"</f>
        <v>2017</v>
      </c>
      <c r="I2036" s="3" t="str">
        <f>""</f>
        <v/>
      </c>
    </row>
    <row r="2037" spans="1:9" x14ac:dyDescent="0.3">
      <c r="A2037" s="2">
        <v>2036</v>
      </c>
      <c r="B2037" s="4" t="s">
        <v>32</v>
      </c>
      <c r="C2037" s="3" t="str">
        <f>"TFC000003677"</f>
        <v>TFC000003677</v>
      </c>
      <c r="D2037" s="3" t="str">
        <f>"F800-21-0517-(AR 3.1)"</f>
        <v>F800-21-0517-(AR 3.1)</v>
      </c>
      <c r="E2037" s="3" t="str">
        <f>"Unicorn diaries. 4:, The goblin princess"</f>
        <v>Unicorn diaries. 4:, The goblin princess</v>
      </c>
      <c r="F2037" s="3" t="str">
        <f>"by Rebecca Elliott"</f>
        <v>by Rebecca Elliott</v>
      </c>
      <c r="G2037" s="3" t="str">
        <f>"Branches:Scholastic"</f>
        <v>Branches:Scholastic</v>
      </c>
      <c r="H2037" s="2" t="str">
        <f>"2020"</f>
        <v>2020</v>
      </c>
      <c r="I2037" s="3" t="str">
        <f>""</f>
        <v/>
      </c>
    </row>
    <row r="2038" spans="1:9" x14ac:dyDescent="0.3">
      <c r="A2038" s="2">
        <v>2037</v>
      </c>
      <c r="B2038" s="4" t="s">
        <v>32</v>
      </c>
      <c r="C2038" s="3" t="str">
        <f>"TFC000003678"</f>
        <v>TFC000003678</v>
      </c>
      <c r="D2038" s="3" t="str">
        <f>"F800-21-0518-(AR 3.1)"</f>
        <v>F800-21-0518-(AR 3.1)</v>
      </c>
      <c r="E2038" s="3" t="str">
        <f>"Unicorn diaries. 3:, Bo the brave"</f>
        <v>Unicorn diaries. 3:, Bo the brave</v>
      </c>
      <c r="F2038" s="3" t="str">
        <f>"by Rebecca Elliott"</f>
        <v>by Rebecca Elliott</v>
      </c>
      <c r="G2038" s="3" t="str">
        <f>"Branches:Scholastic"</f>
        <v>Branches:Scholastic</v>
      </c>
      <c r="H2038" s="2" t="str">
        <f>"2020"</f>
        <v>2020</v>
      </c>
      <c r="I2038" s="3" t="str">
        <f>""</f>
        <v/>
      </c>
    </row>
    <row r="2039" spans="1:9" x14ac:dyDescent="0.3">
      <c r="A2039" s="2">
        <v>2038</v>
      </c>
      <c r="B2039" s="4" t="s">
        <v>32</v>
      </c>
      <c r="C2039" s="3" t="str">
        <f>"TFC000003723"</f>
        <v>TFC000003723</v>
      </c>
      <c r="D2039" s="3" t="str">
        <f>"F800-21-0519-(AR 3.1)"</f>
        <v>F800-21-0519-(AR 3.1)</v>
      </c>
      <c r="E2039" s="3" t="str">
        <f>"Henry Heckelbeck never cheats"</f>
        <v>Henry Heckelbeck never cheats</v>
      </c>
      <c r="F2039" s="3" t="str">
        <f>"by Wanda Coven ; illustrated by Priscilla Burris"</f>
        <v>by Wanda Coven ; illustrated by Priscilla Burris</v>
      </c>
      <c r="G2039" s="3" t="str">
        <f>"Little Simon"</f>
        <v>Little Simon</v>
      </c>
      <c r="H2039" s="2" t="str">
        <f>"2019"</f>
        <v>2019</v>
      </c>
      <c r="I2039" s="3" t="str">
        <f>""</f>
        <v/>
      </c>
    </row>
    <row r="2040" spans="1:9" x14ac:dyDescent="0.3">
      <c r="A2040" s="2">
        <v>2039</v>
      </c>
      <c r="B2040" s="4" t="s">
        <v>32</v>
      </c>
      <c r="C2040" s="3" t="str">
        <f>"TFC000003741"</f>
        <v>TFC000003741</v>
      </c>
      <c r="D2040" s="3" t="str">
        <f>"F800-21-0520-(AR 3.1)"</f>
        <v>F800-21-0520-(AR 3.1)</v>
      </c>
      <c r="E2040" s="3" t="str">
        <f>"(The)valentine's day from the black lagoon"</f>
        <v>(The)valentine's day from the black lagoon</v>
      </c>
      <c r="F2040" s="3" t="str">
        <f>"by Mike Thaler ; illustraed by Jared lee"</f>
        <v>by Mike Thaler ; illustraed by Jared lee</v>
      </c>
      <c r="G2040" s="3" t="str">
        <f>"Scholastic"</f>
        <v>Scholastic</v>
      </c>
      <c r="H2040" s="2" t="str">
        <f>"2007"</f>
        <v>2007</v>
      </c>
      <c r="I2040" s="3" t="str">
        <f>""</f>
        <v/>
      </c>
    </row>
    <row r="2041" spans="1:9" x14ac:dyDescent="0.3">
      <c r="A2041" s="2">
        <v>2040</v>
      </c>
      <c r="B2041" s="4" t="s">
        <v>32</v>
      </c>
      <c r="C2041" s="3" t="str">
        <f>"TFC000003756"</f>
        <v>TFC000003756</v>
      </c>
      <c r="D2041" s="3" t="str">
        <f>"F800-21-0521-(AR 3.1)"</f>
        <v>F800-21-0521-(AR 3.1)</v>
      </c>
      <c r="E2041" s="3" t="str">
        <f>"Earth day from the black lagoon"</f>
        <v>Earth day from the black lagoon</v>
      </c>
      <c r="F2041" s="3" t="str">
        <f>"by Mike Thaler ; illustraed by Jared lee"</f>
        <v>by Mike Thaler ; illustraed by Jared lee</v>
      </c>
      <c r="G2041" s="3" t="str">
        <f>"Scholastic"</f>
        <v>Scholastic</v>
      </c>
      <c r="H2041" s="2" t="str">
        <f>"2013"</f>
        <v>2013</v>
      </c>
      <c r="I2041" s="3" t="str">
        <f>""</f>
        <v/>
      </c>
    </row>
    <row r="2042" spans="1:9" x14ac:dyDescent="0.3">
      <c r="A2042" s="2">
        <v>2041</v>
      </c>
      <c r="B2042" s="4" t="s">
        <v>32</v>
      </c>
      <c r="C2042" s="3" t="str">
        <f>"TFC000003761"</f>
        <v>TFC000003761</v>
      </c>
      <c r="D2042" s="3" t="str">
        <f>"F800-21-0522-(AR 3.1)"</f>
        <v>F800-21-0522-(AR 3.1)</v>
      </c>
      <c r="E2042" s="3" t="str">
        <f>"(The)secret santa from the black lagoon"</f>
        <v>(The)secret santa from the black lagoon</v>
      </c>
      <c r="F2042" s="3" t="str">
        <f>"by Mike Thaler ; illustraed by Jared lee"</f>
        <v>by Mike Thaler ; illustraed by Jared lee</v>
      </c>
      <c r="G2042" s="3" t="str">
        <f>"Scholastic"</f>
        <v>Scholastic</v>
      </c>
      <c r="H2042" s="2" t="str">
        <f>"2014"</f>
        <v>2014</v>
      </c>
      <c r="I2042" s="3" t="str">
        <f>""</f>
        <v/>
      </c>
    </row>
    <row r="2043" spans="1:9" x14ac:dyDescent="0.3">
      <c r="A2043" s="2">
        <v>2042</v>
      </c>
      <c r="B2043" s="4" t="s">
        <v>32</v>
      </c>
      <c r="C2043" s="3" t="str">
        <f>"TFC000003774"</f>
        <v>TFC000003774</v>
      </c>
      <c r="D2043" s="3" t="str">
        <f>"F800-21-0534-(AR 3.1)=2"</f>
        <v>F800-21-0534-(AR 3.1)=2</v>
      </c>
      <c r="E2043" s="3" t="str">
        <f>"Those shoes"</f>
        <v>Those shoes</v>
      </c>
      <c r="F2043" s="3" t="str">
        <f>"by Maribeth Boelts ; illustrated by Noah Jones"</f>
        <v>by Maribeth Boelts ; illustrated by Noah Jones</v>
      </c>
      <c r="G2043" s="3" t="str">
        <f>"Candlewick Press"</f>
        <v>Candlewick Press</v>
      </c>
      <c r="H2043" s="2" t="str">
        <f>"2009"</f>
        <v>2009</v>
      </c>
      <c r="I2043" s="3" t="str">
        <f>""</f>
        <v/>
      </c>
    </row>
    <row r="2044" spans="1:9" x14ac:dyDescent="0.3">
      <c r="A2044" s="2">
        <v>2043</v>
      </c>
      <c r="B2044" s="4" t="s">
        <v>32</v>
      </c>
      <c r="C2044" s="3" t="str">
        <f>"TFC000003947"</f>
        <v>TFC000003947</v>
      </c>
      <c r="D2044" s="3" t="str">
        <f>"F800-21-0527-(AR 3.1)"</f>
        <v>F800-21-0527-(AR 3.1)</v>
      </c>
      <c r="E2044" s="3" t="str">
        <f>"Freddie Ramos Adds It All Up"</f>
        <v>Freddie Ramos Adds It All Up</v>
      </c>
      <c r="F2044" s="3" t="str">
        <f>"by Jacqueline Jules, illustrated by Miguel Benitez"</f>
        <v>by Jacqueline Jules, illustrated by Miguel Benitez</v>
      </c>
      <c r="G2044" s="3" t="str">
        <f>"Albert Whitman &amp; Company"</f>
        <v>Albert Whitman &amp; Company</v>
      </c>
      <c r="H2044" s="2" t="str">
        <f>"2020"</f>
        <v>2020</v>
      </c>
      <c r="I2044" s="3" t="str">
        <f>""</f>
        <v/>
      </c>
    </row>
    <row r="2045" spans="1:9" x14ac:dyDescent="0.3">
      <c r="A2045" s="2">
        <v>2044</v>
      </c>
      <c r="B2045" s="4" t="s">
        <v>32</v>
      </c>
      <c r="C2045" s="3" t="str">
        <f>"TFC000004118"</f>
        <v>TFC000004118</v>
      </c>
      <c r="D2045" s="3" t="str">
        <f>"F800-21-0536-(AR 3.1)=2"</f>
        <v>F800-21-0536-(AR 3.1)=2</v>
      </c>
      <c r="E2045" s="3" t="str">
        <f>"Unicorn diaries. 5, Bo and the Merbaby"</f>
        <v>Unicorn diaries. 5, Bo and the Merbaby</v>
      </c>
      <c r="F2045" s="3" t="str">
        <f>"by Rebecca Elliott"</f>
        <v>by Rebecca Elliott</v>
      </c>
      <c r="G2045" s="3" t="str">
        <f>"Scholastic"</f>
        <v>Scholastic</v>
      </c>
      <c r="H2045" s="2" t="str">
        <f>"2021"</f>
        <v>2021</v>
      </c>
      <c r="I2045" s="3" t="str">
        <f>""</f>
        <v/>
      </c>
    </row>
    <row r="2046" spans="1:9" x14ac:dyDescent="0.3">
      <c r="A2046" s="2">
        <v>2045</v>
      </c>
      <c r="B2046" s="4" t="s">
        <v>32</v>
      </c>
      <c r="C2046" s="3" t="str">
        <f>"TFC000004165"</f>
        <v>TFC000004165</v>
      </c>
      <c r="D2046" s="3" t="str">
        <f>"F800-21-0531-(AR 3.1)"</f>
        <v>F800-21-0531-(AR 3.1)</v>
      </c>
      <c r="E2046" s="3" t="str">
        <f>"Lilly's purple plastic purse"</f>
        <v>Lilly's purple plastic purse</v>
      </c>
      <c r="F2046" s="3" t="str">
        <f>"by Kevin Henkes"</f>
        <v>by Kevin Henkes</v>
      </c>
      <c r="G2046" s="3" t="str">
        <f>"Greenwillow"</f>
        <v>Greenwillow</v>
      </c>
      <c r="H2046" s="2" t="str">
        <f>"2006"</f>
        <v>2006</v>
      </c>
      <c r="I2046" s="3" t="str">
        <f>""</f>
        <v/>
      </c>
    </row>
    <row r="2047" spans="1:9" x14ac:dyDescent="0.3">
      <c r="A2047" s="2">
        <v>2046</v>
      </c>
      <c r="B2047" s="4" t="s">
        <v>32</v>
      </c>
      <c r="C2047" s="3" t="str">
        <f>"TFC000004457"</f>
        <v>TFC000004457</v>
      </c>
      <c r="D2047" s="3" t="str">
        <f>"F800-22-0266-(AR 3.1)"</f>
        <v>F800-22-0266-(AR 3.1)</v>
      </c>
      <c r="E2047" s="3" t="str">
        <f>"Encounter"</f>
        <v>Encounter</v>
      </c>
      <c r="F2047" s="3" t="str">
        <f>"by Brittany Luby, illustrated by Michaela Goade"</f>
        <v>by Brittany Luby, illustrated by Michaela Goade</v>
      </c>
      <c r="G2047" s="3" t="str">
        <f>"Little, Brown Books for Young Readers"</f>
        <v>Little, Brown Books for Young Readers</v>
      </c>
      <c r="H2047" s="2" t="str">
        <f>"2019"</f>
        <v>2019</v>
      </c>
      <c r="I2047" s="3" t="str">
        <f>""</f>
        <v/>
      </c>
    </row>
    <row r="2048" spans="1:9" x14ac:dyDescent="0.3">
      <c r="A2048" s="2">
        <v>2047</v>
      </c>
      <c r="B2048" s="4" t="s">
        <v>32</v>
      </c>
      <c r="C2048" s="3" t="str">
        <f>"TFC000004290"</f>
        <v>TFC000004290</v>
      </c>
      <c r="D2048" s="3" t="str">
        <f>"F800-22-0023-(AR 3.1)"</f>
        <v>F800-22-0023-(AR 3.1)</v>
      </c>
      <c r="E2048" s="3" t="str">
        <f>"I am Helen Keller"</f>
        <v>I am Helen Keller</v>
      </c>
      <c r="F2048" s="3" t="str">
        <f>"by Brad Meltzer, illustrated by Christopher Eliopoulos"</f>
        <v>by Brad Meltzer, illustrated by Christopher Eliopoulos</v>
      </c>
      <c r="G2048" s="3" t="str">
        <f>"Dial Books"</f>
        <v>Dial Books</v>
      </c>
      <c r="H2048" s="2" t="str">
        <f>"2014"</f>
        <v>2014</v>
      </c>
      <c r="I2048" s="3" t="str">
        <f>""</f>
        <v/>
      </c>
    </row>
    <row r="2049" spans="1:9" x14ac:dyDescent="0.3">
      <c r="A2049" s="2">
        <v>2048</v>
      </c>
      <c r="B2049" s="4" t="s">
        <v>32</v>
      </c>
      <c r="C2049" s="3" t="str">
        <f>"TFC000004327"</f>
        <v>TFC000004327</v>
      </c>
      <c r="D2049" s="3" t="str">
        <f>"F800-22-0136-(AR 3.1)"</f>
        <v>F800-22-0136-(AR 3.1)</v>
      </c>
      <c r="E2049" s="3" t="str">
        <f>"Unicorn Diaries. 6, Storm on Snowbelle Mountain"</f>
        <v>Unicorn Diaries. 6, Storm on Snowbelle Mountain</v>
      </c>
      <c r="F2049" s="3" t="str">
        <f>"by Rebecca Elliott"</f>
        <v>by Rebecca Elliott</v>
      </c>
      <c r="G2049" s="3" t="str">
        <f>"Scholastic"</f>
        <v>Scholastic</v>
      </c>
      <c r="H2049" s="2" t="str">
        <f>"2022"</f>
        <v>2022</v>
      </c>
      <c r="I2049" s="3" t="str">
        <f>""</f>
        <v/>
      </c>
    </row>
    <row r="2050" spans="1:9" x14ac:dyDescent="0.3">
      <c r="A2050" s="2">
        <v>2049</v>
      </c>
      <c r="B2050" s="4" t="s">
        <v>32</v>
      </c>
      <c r="C2050" s="3" t="str">
        <f>"TFC000004381"</f>
        <v>TFC000004381</v>
      </c>
      <c r="D2050" s="3" t="str">
        <f>"F800-22-0190-(AR 3.1)"</f>
        <v>F800-22-0190-(AR 3.1)</v>
      </c>
      <c r="E2050" s="3" t="str">
        <f>"Silverlicious"</f>
        <v>Silverlicious</v>
      </c>
      <c r="F2050" s="3" t="str">
        <f>"by Victoria Kann"</f>
        <v>by Victoria Kann</v>
      </c>
      <c r="G2050" s="3" t="str">
        <f>"Harpercollins"</f>
        <v>Harpercollins</v>
      </c>
      <c r="H2050" s="2" t="str">
        <f>"2011"</f>
        <v>2011</v>
      </c>
      <c r="I2050" s="3" t="str">
        <f>""</f>
        <v/>
      </c>
    </row>
    <row r="2051" spans="1:9" x14ac:dyDescent="0.3">
      <c r="A2051" s="2">
        <v>2050</v>
      </c>
      <c r="B2051" s="4" t="s">
        <v>32</v>
      </c>
      <c r="C2051" s="3" t="str">
        <f>"TFC000004687"</f>
        <v>TFC000004687</v>
      </c>
      <c r="D2051" s="3" t="str">
        <f>"F800-22-0496-(AR3.1)"</f>
        <v>F800-22-0496-(AR3.1)</v>
      </c>
      <c r="E2051" s="3" t="str">
        <f>"Shifting Shelves"</f>
        <v>Shifting Shelves</v>
      </c>
      <c r="F2051" s="3" t="str">
        <f>"by Michael Dahl, illustrated by Patricio Clarey"</f>
        <v>by Michael Dahl, illustrated by Patricio Clarey</v>
      </c>
      <c r="G2051" s="3" t="str">
        <f>"Stone Arch Books"</f>
        <v>Stone Arch Books</v>
      </c>
      <c r="H2051" s="2" t="str">
        <f>"2022"</f>
        <v>2022</v>
      </c>
      <c r="I2051" s="3" t="str">
        <f>""</f>
        <v/>
      </c>
    </row>
    <row r="2052" spans="1:9" x14ac:dyDescent="0.3">
      <c r="A2052" s="2">
        <v>2051</v>
      </c>
      <c r="B2052" s="4" t="s">
        <v>32</v>
      </c>
      <c r="C2052" s="3" t="str">
        <f>"TFC000004458"</f>
        <v>TFC000004458</v>
      </c>
      <c r="D2052" s="3" t="str">
        <f>"F800-22-0267-(AR3.1)"</f>
        <v>F800-22-0267-(AR3.1)</v>
      </c>
      <c r="E2052" s="3" t="str">
        <f>"Lili Macaroni"</f>
        <v>Lili Macaroni</v>
      </c>
      <c r="F2052" s="3" t="str">
        <f>"byNicole Testa, Annie Boulanger"</f>
        <v>byNicole Testa, Annie Boulanger</v>
      </c>
      <c r="G2052" s="3" t="str">
        <f>"Pajama Pr"</f>
        <v>Pajama Pr</v>
      </c>
      <c r="H2052" s="2" t="str">
        <f>"2019"</f>
        <v>2019</v>
      </c>
      <c r="I2052" s="3" t="str">
        <f>""</f>
        <v/>
      </c>
    </row>
    <row r="2053" spans="1:9" x14ac:dyDescent="0.3">
      <c r="A2053" s="2">
        <v>2052</v>
      </c>
      <c r="B2053" s="4" t="s">
        <v>32</v>
      </c>
      <c r="C2053" s="3" t="str">
        <f>"TFC000004456"</f>
        <v>TFC000004456</v>
      </c>
      <c r="D2053" s="3" t="str">
        <f>"F400-22-0265-(AR3.1)"</f>
        <v>F400-22-0265-(AR3.1)</v>
      </c>
      <c r="E2053" s="3" t="str">
        <f>"Dinosaur Graveyards in North America"</f>
        <v>Dinosaur Graveyards in North America</v>
      </c>
      <c r="F2053" s="3" t="str">
        <f>"by Grace Hansen"</f>
        <v>by Grace Hansen</v>
      </c>
      <c r="G2053" s="3" t="str">
        <f>"Abdo Kids"</f>
        <v>Abdo Kids</v>
      </c>
      <c r="H2053" s="2" t="str">
        <f>"2021"</f>
        <v>2021</v>
      </c>
      <c r="I2053" s="3" t="str">
        <f>""</f>
        <v/>
      </c>
    </row>
    <row r="2054" spans="1:9" x14ac:dyDescent="0.3">
      <c r="A2054" s="2">
        <v>2053</v>
      </c>
      <c r="B2054" s="4" t="s">
        <v>32</v>
      </c>
      <c r="C2054" s="3" t="str">
        <f>"TFC000004903"</f>
        <v>TFC000004903</v>
      </c>
      <c r="D2054" s="3" t="str">
        <f>"F800-23-0007-(AR3.1)"</f>
        <v>F800-23-0007-(AR3.1)</v>
      </c>
      <c r="E2054" s="3" t="str">
        <f>"I Found a Kitty!"</f>
        <v>I Found a Kitty!</v>
      </c>
      <c r="F2054" s="3" t="str">
        <f>"by Troy Cummings"</f>
        <v>by Troy Cummings</v>
      </c>
      <c r="G2054" s="3" t="str">
        <f>"Random House"</f>
        <v>Random House</v>
      </c>
      <c r="H2054" s="2" t="str">
        <f>"2022"</f>
        <v>2022</v>
      </c>
      <c r="I2054" s="3" t="str">
        <f>""</f>
        <v/>
      </c>
    </row>
    <row r="2055" spans="1:9" x14ac:dyDescent="0.3">
      <c r="A2055" s="2">
        <v>2054</v>
      </c>
      <c r="B2055" s="4" t="s">
        <v>32</v>
      </c>
      <c r="C2055" s="3" t="str">
        <f>"TFC000004349"</f>
        <v>TFC000004349</v>
      </c>
      <c r="D2055" s="3" t="str">
        <f>"F800-22-0158-(AR3.1)"</f>
        <v>F800-22-0158-(AR3.1)</v>
      </c>
      <c r="E2055" s="3" t="str">
        <f>"Going Places"</f>
        <v>Going Places</v>
      </c>
      <c r="F2055" s="3" t="str">
        <f>"by Paul A. Reynolds, illustrated by Peter A. Reynolds"</f>
        <v>by Paul A. Reynolds, illustrated by Peter A. Reynolds</v>
      </c>
      <c r="G2055" s="3" t="str">
        <f>"Atheneum Books"</f>
        <v>Atheneum Books</v>
      </c>
      <c r="H2055" s="2" t="str">
        <f>"2014"</f>
        <v>2014</v>
      </c>
      <c r="I2055" s="3" t="str">
        <f>""</f>
        <v/>
      </c>
    </row>
    <row r="2056" spans="1:9" x14ac:dyDescent="0.3">
      <c r="A2056" s="2">
        <v>2055</v>
      </c>
      <c r="B2056" s="4" t="s">
        <v>32</v>
      </c>
      <c r="C2056" s="3" t="str">
        <f>"TFC000004411"</f>
        <v>TFC000004411</v>
      </c>
      <c r="D2056" s="3" t="str">
        <f>"F800-22-0220-(AR3.1)"</f>
        <v>F800-22-0220-(AR3.1)</v>
      </c>
      <c r="E2056" s="3" t="str">
        <f>"(The)ugly vegetables"</f>
        <v>(The)ugly vegetables</v>
      </c>
      <c r="F2056" s="3" t="str">
        <f>"by Grace Lin"</f>
        <v>by Grace Lin</v>
      </c>
      <c r="G2056" s="3" t="str">
        <f>"Charlesbridge"</f>
        <v>Charlesbridge</v>
      </c>
      <c r="H2056" s="2" t="str">
        <f>"1999"</f>
        <v>1999</v>
      </c>
      <c r="I2056" s="3" t="str">
        <f>""</f>
        <v/>
      </c>
    </row>
    <row r="2057" spans="1:9" x14ac:dyDescent="0.3">
      <c r="A2057" s="2">
        <v>2056</v>
      </c>
      <c r="B2057" s="4" t="s">
        <v>32</v>
      </c>
      <c r="C2057" s="3" t="str">
        <f>"TFC000004455"</f>
        <v>TFC000004455</v>
      </c>
      <c r="D2057" s="3" t="str">
        <f>"F800-22-0264-(AR3.1)"</f>
        <v>F800-22-0264-(AR3.1)</v>
      </c>
      <c r="E2057" s="3" t="str">
        <f>"Fort Builders Inc.: : The Birthday Castle"</f>
        <v>Fort Builders Inc.: : The Birthday Castle</v>
      </c>
      <c r="F2057" s="3" t="str">
        <f>"by Dee Romito"</f>
        <v>by Dee Romito</v>
      </c>
      <c r="G2057" s="3" t="str">
        <f>"Aladdin Quix"</f>
        <v>Aladdin Quix</v>
      </c>
      <c r="H2057" s="2" t="str">
        <f>"2020"</f>
        <v>2020</v>
      </c>
      <c r="I2057" s="3" t="str">
        <f>""</f>
        <v/>
      </c>
    </row>
    <row r="2058" spans="1:9" x14ac:dyDescent="0.3">
      <c r="A2058" s="2">
        <v>2057</v>
      </c>
      <c r="B2058" s="4" t="s">
        <v>32</v>
      </c>
      <c r="C2058" s="3" t="str">
        <f>"TFC000004459"</f>
        <v>TFC000004459</v>
      </c>
      <c r="D2058" s="3" t="str">
        <f>"F800-22-0268-(AR3.1)"</f>
        <v>F800-22-0268-(AR3.1)</v>
      </c>
      <c r="E2058" s="3" t="str">
        <f>"Super Peppa"</f>
        <v>Super Peppa</v>
      </c>
      <c r="F2058" s="3" t="str">
        <f>"adapted by Lauren Holowaty"</f>
        <v>adapted by Lauren Holowaty</v>
      </c>
      <c r="G2058" s="3" t="str">
        <f>"Ladybird"</f>
        <v>Ladybird</v>
      </c>
      <c r="H2058" s="2" t="str">
        <f>"2020"</f>
        <v>2020</v>
      </c>
      <c r="I2058" s="3" t="str">
        <f>""</f>
        <v/>
      </c>
    </row>
    <row r="2059" spans="1:9" x14ac:dyDescent="0.3">
      <c r="A2059" s="2">
        <v>2058</v>
      </c>
      <c r="B2059" s="4" t="s">
        <v>32</v>
      </c>
      <c r="C2059" s="3" t="str">
        <f>"TFC000004460"</f>
        <v>TFC000004460</v>
      </c>
      <c r="D2059" s="3" t="str">
        <f>"F400-22-0269-(AR3.1)"</f>
        <v>F400-22-0269-(AR3.1)</v>
      </c>
      <c r="E2059" s="3" t="str">
        <f>"Ranger Rick : I wish I was a flamingo"</f>
        <v>Ranger Rick : I wish I was a flamingo</v>
      </c>
      <c r="F2059" s="3" t="str">
        <f>"by Jennifer Bove"</f>
        <v>by Jennifer Bove</v>
      </c>
      <c r="G2059" s="3" t="str">
        <f>"Harper"</f>
        <v>Harper</v>
      </c>
      <c r="H2059" s="2" t="str">
        <f>"2021"</f>
        <v>2021</v>
      </c>
      <c r="I2059" s="3" t="str">
        <f>""</f>
        <v/>
      </c>
    </row>
    <row r="2060" spans="1:9" x14ac:dyDescent="0.3">
      <c r="A2060" s="2">
        <v>2059</v>
      </c>
      <c r="B2060" s="4" t="s">
        <v>32</v>
      </c>
      <c r="C2060" s="3" t="str">
        <f>"TFC000004686"</f>
        <v>TFC000004686</v>
      </c>
      <c r="D2060" s="3" t="str">
        <f>"F800-22-0495-(AR3.1)"</f>
        <v>F800-22-0495-(AR3.1)</v>
      </c>
      <c r="E2060" s="3" t="str">
        <f>"Monster in the Margis"</f>
        <v>Monster in the Margis</v>
      </c>
      <c r="F2060" s="3" t="str">
        <f>"by Michael Dahl, illustrated by Patricio Clarey"</f>
        <v>by Michael Dahl, illustrated by Patricio Clarey</v>
      </c>
      <c r="G2060" s="3" t="str">
        <f>"Stone Arch Books"</f>
        <v>Stone Arch Books</v>
      </c>
      <c r="H2060" s="2" t="str">
        <f>"2022"</f>
        <v>2022</v>
      </c>
      <c r="I2060" s="3" t="str">
        <f>""</f>
        <v/>
      </c>
    </row>
    <row r="2061" spans="1:9" x14ac:dyDescent="0.3">
      <c r="A2061" s="2">
        <v>2060</v>
      </c>
      <c r="B2061" s="4" t="s">
        <v>32</v>
      </c>
      <c r="C2061" s="3" t="str">
        <f>"TFC000004901"</f>
        <v>TFC000004901</v>
      </c>
      <c r="D2061" s="3" t="str">
        <f>"F800-23-0005-(AR3.1)"</f>
        <v>F800-23-0005-(AR3.1)</v>
      </c>
      <c r="E2061" s="3" t="str">
        <f>"Moon rising : the graphic novel. 6"</f>
        <v>Moon rising : the graphic novel. 6</v>
      </c>
      <c r="F2061" s="3" t="str">
        <f>"by Tui T. Sutherland, adapted by Barry Deutsch, Rachel Swirsky, art by Mike Holmes, color by Maarta Laiho"</f>
        <v>by Tui T. Sutherland, adapted by Barry Deutsch, Rachel Swirsky, art by Mike Holmes, color by Maarta Laiho</v>
      </c>
      <c r="G2061" s="3" t="str">
        <f>"Graphix:Scholastic"</f>
        <v>Graphix:Scholastic</v>
      </c>
      <c r="H2061" s="2" t="str">
        <f>"2023"</f>
        <v>2023</v>
      </c>
      <c r="I2061" s="3" t="str">
        <f>""</f>
        <v/>
      </c>
    </row>
    <row r="2062" spans="1:9" x14ac:dyDescent="0.3">
      <c r="A2062" s="2">
        <v>2061</v>
      </c>
      <c r="B2062" s="4" t="s">
        <v>32</v>
      </c>
      <c r="C2062" s="3" t="str">
        <f>"TFC000004674"</f>
        <v>TFC000004674</v>
      </c>
      <c r="D2062" s="3" t="str">
        <f>"F800-22-0483-(AR3.1)"</f>
        <v>F800-22-0483-(AR3.1)</v>
      </c>
      <c r="E2062" s="3" t="str">
        <f>"(The)Last Firehawk. 1, The Ember Stone"</f>
        <v>(The)Last Firehawk. 1, The Ember Stone</v>
      </c>
      <c r="F2062" s="3" t="str">
        <f>"by Katrina Charman, illustrated by Jeremy Norton"</f>
        <v>by Katrina Charman, illustrated by Jeremy Norton</v>
      </c>
      <c r="G2062" s="3" t="str">
        <f>"Scholastic"</f>
        <v>Scholastic</v>
      </c>
      <c r="H2062" s="2" t="str">
        <f>"2017"</f>
        <v>2017</v>
      </c>
      <c r="I2062" s="3" t="str">
        <f>""</f>
        <v/>
      </c>
    </row>
    <row r="2063" spans="1:9" x14ac:dyDescent="0.3">
      <c r="A2063" s="2">
        <v>2062</v>
      </c>
      <c r="B2063" s="4" t="s">
        <v>32</v>
      </c>
      <c r="C2063" s="3" t="str">
        <f>"TFC000004675"</f>
        <v>TFC000004675</v>
      </c>
      <c r="D2063" s="3" t="str">
        <f>"F800-22-0484-(AR3.1)"</f>
        <v>F800-22-0484-(AR3.1)</v>
      </c>
      <c r="E2063" s="3" t="str">
        <f>"(The)Last Firehawk. 2, The Crystal caverns"</f>
        <v>(The)Last Firehawk. 2, The Crystal caverns</v>
      </c>
      <c r="F2063" s="3" t="str">
        <f>"by Katrina Charman, illustrated by Jeremy Norton"</f>
        <v>by Katrina Charman, illustrated by Jeremy Norton</v>
      </c>
      <c r="G2063" s="3" t="str">
        <f>"Scholastic"</f>
        <v>Scholastic</v>
      </c>
      <c r="H2063" s="2" t="str">
        <f>"2017"</f>
        <v>2017</v>
      </c>
      <c r="I2063" s="3" t="str">
        <f>""</f>
        <v/>
      </c>
    </row>
    <row r="2064" spans="1:9" x14ac:dyDescent="0.3">
      <c r="A2064" s="2">
        <v>2063</v>
      </c>
      <c r="B2064" s="4" t="s">
        <v>32</v>
      </c>
      <c r="C2064" s="3" t="str">
        <f>"TFC000004900"</f>
        <v>TFC000004900</v>
      </c>
      <c r="D2064" s="3" t="str">
        <f>"F800-23-0004-(AR3.1)"</f>
        <v>F800-23-0004-(AR3.1)</v>
      </c>
      <c r="E2064" s="3" t="str">
        <f>"(The)brightest night : the graphic novel. 5"</f>
        <v>(The)brightest night : the graphic novel. 5</v>
      </c>
      <c r="F2064" s="3" t="str">
        <f>"by Tui T. Sutherland, art by Mike Holmes"</f>
        <v>by Tui T. Sutherland, art by Mike Holmes</v>
      </c>
      <c r="G2064" s="3" t="str">
        <f>"Scholastic"</f>
        <v>Scholastic</v>
      </c>
      <c r="H2064" s="2" t="str">
        <f>"2021"</f>
        <v>2021</v>
      </c>
      <c r="I2064" s="3" t="str">
        <f>""</f>
        <v/>
      </c>
    </row>
    <row r="2065" spans="1:9" x14ac:dyDescent="0.3">
      <c r="A2065" s="2">
        <v>2064</v>
      </c>
      <c r="B2065" s="4" t="s">
        <v>32</v>
      </c>
      <c r="C2065" s="3" t="str">
        <f>"TFC000004164"</f>
        <v>TFC000004164</v>
      </c>
      <c r="D2065" s="3" t="str">
        <f>"F800-21-0530-1(AR 3.1)"</f>
        <v>F800-21-0530-1(AR 3.1)</v>
      </c>
      <c r="E2065" s="3" t="str">
        <f>"Mr. Corbett is in orbit!"</f>
        <v>Mr. Corbett is in orbit!</v>
      </c>
      <c r="F2065" s="3" t="str">
        <f>"[written by] Dan Gutman, pictures by Jim Paillot"</f>
        <v>[written by] Dan Gutman, pictures by Jim Paillot</v>
      </c>
      <c r="G2065" s="3" t="str">
        <f>"Harper Alley, an imprint of HarperCollins Publishers"</f>
        <v>Harper Alley, an imprint of HarperCollins Publishers</v>
      </c>
      <c r="H2065" s="2" t="str">
        <f>"2021"</f>
        <v>2021</v>
      </c>
      <c r="I2065" s="3" t="str">
        <f>""</f>
        <v/>
      </c>
    </row>
    <row r="2066" spans="1:9" x14ac:dyDescent="0.3">
      <c r="A2066" s="2">
        <v>2065</v>
      </c>
      <c r="B2066" s="4" t="s">
        <v>32</v>
      </c>
      <c r="C2066" s="3" t="str">
        <f>"TFC000004001"</f>
        <v>TFC000004001</v>
      </c>
      <c r="D2066" s="3" t="str">
        <f>"F800-21-0529-11(AR 3.1)"</f>
        <v>F800-21-0529-11(AR 3.1)</v>
      </c>
      <c r="E2066" s="3" t="str">
        <f>"Judy Moody. 11, Judy Moody and the Bad Luck Charm"</f>
        <v>Judy Moody. 11, Judy Moody and the Bad Luck Charm</v>
      </c>
      <c r="F2066" s="3" t="str">
        <f>"by Megan McDonald, illustrated by Peter H. Reynolds"</f>
        <v>by Megan McDonald, illustrated by Peter H. Reynolds</v>
      </c>
      <c r="G2066" s="3" t="str">
        <f>"Candlewick"</f>
        <v>Candlewick</v>
      </c>
      <c r="H2066" s="2" t="str">
        <f>"2012"</f>
        <v>2012</v>
      </c>
      <c r="I2066" s="3" t="str">
        <f>""</f>
        <v/>
      </c>
    </row>
    <row r="2067" spans="1:9" x14ac:dyDescent="0.3">
      <c r="A2067" s="2">
        <v>2066</v>
      </c>
      <c r="B2067" s="4">
        <v>3.1</v>
      </c>
      <c r="C2067" s="3" t="str">
        <f>"TFC000003466"</f>
        <v>TFC000003466</v>
      </c>
      <c r="D2067" s="3" t="str">
        <f>"F800-21-0513-12(AR 3.1)"</f>
        <v>F800-21-0513-12(AR 3.1)</v>
      </c>
      <c r="E2067" s="3" t="str">
        <f>"Owl diaries. 12, Eva's campfire adventure"</f>
        <v>Owl diaries. 12, Eva's campfire adventure</v>
      </c>
      <c r="F2067" s="3" t="str">
        <f>"by Rebecca Elliott"</f>
        <v>by Rebecca Elliott</v>
      </c>
      <c r="G2067" s="3" t="str">
        <f>"Scholastic:Branches"</f>
        <v>Scholastic:Branches</v>
      </c>
      <c r="H2067" s="2" t="str">
        <f>"2020"</f>
        <v>2020</v>
      </c>
      <c r="I2067" s="3" t="str">
        <f>""</f>
        <v/>
      </c>
    </row>
    <row r="2068" spans="1:9" x14ac:dyDescent="0.3">
      <c r="A2068" s="2">
        <v>2067</v>
      </c>
      <c r="B2068" s="4">
        <v>3.1</v>
      </c>
      <c r="C2068" s="3" t="str">
        <f>"TFC000003870"</f>
        <v>TFC000003870</v>
      </c>
      <c r="D2068" s="3" t="str">
        <f>"F800-21-0525-14(AR 3.1)"</f>
        <v>F800-21-0525-14(AR 3.1)</v>
      </c>
      <c r="E2068" s="3" t="str">
        <f>"Goosebumps horrorland. 14, Little Shop of Hamsters"</f>
        <v>Goosebumps horrorland. 14, Little Shop of Hamsters</v>
      </c>
      <c r="F2068" s="3" t="str">
        <f>"by R. L. Stine"</f>
        <v>by R. L. Stine</v>
      </c>
      <c r="G2068" s="3" t="str">
        <f>"Scholastic"</f>
        <v>Scholastic</v>
      </c>
      <c r="H2068" s="2" t="str">
        <f>"2010"</f>
        <v>2010</v>
      </c>
      <c r="I2068" s="3" t="str">
        <f>""</f>
        <v/>
      </c>
    </row>
    <row r="2069" spans="1:9" x14ac:dyDescent="0.3">
      <c r="A2069" s="2">
        <v>2068</v>
      </c>
      <c r="B2069" s="4">
        <v>3.1</v>
      </c>
      <c r="C2069" s="3" t="str">
        <f>"TFC000003868"</f>
        <v>TFC000003868</v>
      </c>
      <c r="D2069" s="3" t="str">
        <f>"F800-21-0523-18(AR 3.1)"</f>
        <v>F800-21-0523-18(AR 3.1)</v>
      </c>
      <c r="E2069" s="3" t="str">
        <f>"Goosebumps horrorland. 18, Slappy New year!"</f>
        <v>Goosebumps horrorland. 18, Slappy New year!</v>
      </c>
      <c r="F2069" s="3" t="str">
        <f>"by R. L. Stine"</f>
        <v>by R. L. Stine</v>
      </c>
      <c r="G2069" s="3" t="str">
        <f>"Scholastic"</f>
        <v>Scholastic</v>
      </c>
      <c r="H2069" s="2" t="str">
        <f>"2010"</f>
        <v>2010</v>
      </c>
      <c r="I2069" s="3" t="str">
        <f>""</f>
        <v/>
      </c>
    </row>
    <row r="2070" spans="1:9" x14ac:dyDescent="0.3">
      <c r="A2070" s="2">
        <v>2069</v>
      </c>
      <c r="B2070" s="4">
        <v>3.1</v>
      </c>
      <c r="C2070" s="3" t="str">
        <f>"TFC000004267"</f>
        <v>TFC000004267</v>
      </c>
      <c r="D2070" s="3" t="str">
        <f>"F800-22-0021-20(AR 3.1)"</f>
        <v>F800-22-0021-20(AR 3.1)</v>
      </c>
      <c r="E2070" s="3" t="str">
        <f>"(The)Critter club. 20, Marion and the girls' getaway"</f>
        <v>(The)Critter club. 20, Marion and the girls' getaway</v>
      </c>
      <c r="F2070" s="3" t="str">
        <f>"by Callie Barkley, illlustrated by Tracy Bishop"</f>
        <v>by Callie Barkley, illlustrated by Tracy Bishop</v>
      </c>
      <c r="G2070" s="3" t="str">
        <f>"Little simon"</f>
        <v>Little simon</v>
      </c>
      <c r="H2070" s="2" t="str">
        <f>"2018"</f>
        <v>2018</v>
      </c>
      <c r="I2070" s="3" t="str">
        <f>""</f>
        <v/>
      </c>
    </row>
    <row r="2071" spans="1:9" x14ac:dyDescent="0.3">
      <c r="A2071" s="2">
        <v>2070</v>
      </c>
      <c r="B2071" s="4">
        <v>3.1</v>
      </c>
      <c r="C2071" s="3" t="str">
        <f>"TFC000004268"</f>
        <v>TFC000004268</v>
      </c>
      <c r="D2071" s="3" t="str">
        <f>"F800-22-0022-21(AR 3.1)"</f>
        <v>F800-22-0022-21(AR 3.1)</v>
      </c>
      <c r="E2071" s="3" t="str">
        <f>"(The)critter club. 21, Amy the Puppy Whisperer"</f>
        <v>(The)critter club. 21, Amy the Puppy Whisperer</v>
      </c>
      <c r="F2071" s="3" t="str">
        <f>"by Callie Barkley, illustrated by Tracy Bishop"</f>
        <v>by Callie Barkley, illustrated by Tracy Bishop</v>
      </c>
      <c r="G2071" s="3" t="str">
        <f>"Little Simon"</f>
        <v>Little Simon</v>
      </c>
      <c r="H2071" s="2" t="str">
        <f>"2018"</f>
        <v>2018</v>
      </c>
      <c r="I2071" s="3" t="str">
        <f>""</f>
        <v/>
      </c>
    </row>
    <row r="2072" spans="1:9" x14ac:dyDescent="0.3">
      <c r="A2072" s="2">
        <v>2071</v>
      </c>
      <c r="B2072" s="4">
        <v>3.1</v>
      </c>
      <c r="C2072" s="3" t="str">
        <f>"TFC000004269"</f>
        <v>TFC000004269</v>
      </c>
      <c r="D2072" s="3" t="str">
        <f>"F800-22-0103-22(AR 3.1)"</f>
        <v>F800-22-0103-22(AR 3.1)</v>
      </c>
      <c r="E2072" s="3" t="str">
        <f>"(The)critter club. 22, Ellie tames the tiger"</f>
        <v>(The)critter club. 22, Ellie tames the tiger</v>
      </c>
      <c r="F2072" s="3" t="str">
        <f>"by Callie Barkley, Illustrated by Tracy Bishop"</f>
        <v>by Callie Barkley, Illustrated by Tracy Bishop</v>
      </c>
      <c r="G2072" s="3" t="str">
        <f>"Little Simon"</f>
        <v>Little Simon</v>
      </c>
      <c r="H2072" s="2" t="str">
        <f>"2021"</f>
        <v>2021</v>
      </c>
      <c r="I2072" s="3" t="str">
        <f>""</f>
        <v/>
      </c>
    </row>
    <row r="2073" spans="1:9" x14ac:dyDescent="0.3">
      <c r="A2073" s="2">
        <v>2072</v>
      </c>
      <c r="B2073" s="4">
        <v>3.1</v>
      </c>
      <c r="C2073" s="3" t="str">
        <f>"TFC000003869"</f>
        <v>TFC000003869</v>
      </c>
      <c r="D2073" s="3" t="str">
        <f>"F800-21-0524-3(AR 3.1)"</f>
        <v>F800-21-0524-3(AR 3.1)</v>
      </c>
      <c r="E2073" s="3" t="str">
        <f>"Goosebumps horrorland. 3, Monster Blood for Breakfast!"</f>
        <v>Goosebumps horrorland. 3, Monster Blood for Breakfast!</v>
      </c>
      <c r="F2073" s="3" t="str">
        <f>"by R. L. Stine"</f>
        <v>by R. L. Stine</v>
      </c>
      <c r="G2073" s="3" t="str">
        <f>"Scholastic"</f>
        <v>Scholastic</v>
      </c>
      <c r="H2073" s="2" t="str">
        <f>"2008"</f>
        <v>2008</v>
      </c>
      <c r="I2073" s="3" t="str">
        <f>""</f>
        <v/>
      </c>
    </row>
    <row r="2074" spans="1:9" x14ac:dyDescent="0.3">
      <c r="A2074" s="2">
        <v>2073</v>
      </c>
      <c r="B2074" s="4">
        <v>3.1</v>
      </c>
      <c r="C2074" s="3" t="str">
        <f>"TFC000004166"</f>
        <v>TFC000004166</v>
      </c>
      <c r="D2074" s="3" t="str">
        <f>"F800-21-0532-5(AR 3.1)"</f>
        <v>F800-21-0532-5(AR 3.1)</v>
      </c>
      <c r="E2074" s="3" t="str">
        <f>"Warm hearts day"</f>
        <v>Warm hearts day</v>
      </c>
      <c r="F2074" s="3" t="str">
        <f>"by Rebecca Elliott"</f>
        <v>by Rebecca Elliott</v>
      </c>
      <c r="G2074" s="3" t="str">
        <f>"Branches"</f>
        <v>Branches</v>
      </c>
      <c r="H2074" s="2" t="str">
        <f>"2016"</f>
        <v>2016</v>
      </c>
      <c r="I2074" s="3" t="str">
        <f>""</f>
        <v/>
      </c>
    </row>
    <row r="2075" spans="1:9" x14ac:dyDescent="0.3">
      <c r="A2075" s="2">
        <v>2074</v>
      </c>
      <c r="B2075" s="4">
        <v>3.1</v>
      </c>
      <c r="C2075" s="3" t="str">
        <f>"TFC000004000"</f>
        <v>TFC000004000</v>
      </c>
      <c r="D2075" s="3" t="str">
        <f>"F800-21-0528-5(AR 3.1)"</f>
        <v>F800-21-0528-5(AR 3.1)</v>
      </c>
      <c r="E2075" s="3" t="str">
        <f>"Unicorn diaries. 5, Bo and the Merbaby"</f>
        <v>Unicorn diaries. 5, Bo and the Merbaby</v>
      </c>
      <c r="F2075" s="3" t="str">
        <f>"by Rebecca Elliott"</f>
        <v>by Rebecca Elliott</v>
      </c>
      <c r="G2075" s="3" t="str">
        <f>"Scholastic"</f>
        <v>Scholastic</v>
      </c>
      <c r="H2075" s="2" t="str">
        <f>"2021"</f>
        <v>2021</v>
      </c>
      <c r="I2075" s="3" t="str">
        <f>""</f>
        <v/>
      </c>
    </row>
    <row r="2076" spans="1:9" x14ac:dyDescent="0.3">
      <c r="A2076" s="2">
        <v>2075</v>
      </c>
      <c r="B2076" s="4" t="s">
        <v>32</v>
      </c>
      <c r="C2076" s="3" t="str">
        <f>"TFC000003871"</f>
        <v>TFC000003871</v>
      </c>
      <c r="D2076" s="3" t="str">
        <f>"F800-21-0526-8(AR 3.1)"</f>
        <v>F800-21-0526-8(AR 3.1)</v>
      </c>
      <c r="E2076" s="3" t="str">
        <f>"Goosebumps horrorland. 8, Say Cheese - And Die Screaming!"</f>
        <v>Goosebumps horrorland. 8, Say Cheese - And Die Screaming!</v>
      </c>
      <c r="F2076" s="3" t="str">
        <f>"by R. L. Stine"</f>
        <v>by R. L. Stine</v>
      </c>
      <c r="G2076" s="3" t="str">
        <f>"Scholastic"</f>
        <v>Scholastic</v>
      </c>
      <c r="H2076" s="2" t="str">
        <f>"2009"</f>
        <v>2009</v>
      </c>
      <c r="I2076" s="3" t="str">
        <f>""</f>
        <v/>
      </c>
    </row>
    <row r="2077" spans="1:9" x14ac:dyDescent="0.3">
      <c r="A2077" s="2">
        <v>2076</v>
      </c>
      <c r="B2077" s="4" t="s">
        <v>32</v>
      </c>
      <c r="C2077" s="3" t="str">
        <f>"TFC000004167"</f>
        <v>TFC000004167</v>
      </c>
      <c r="D2077" s="3" t="str">
        <f>"F800-21-0533-8(AR 3.1)"</f>
        <v>F800-21-0533-8(AR 3.1)</v>
      </c>
      <c r="E2077" s="3" t="str">
        <f>"eva and the lost pony"</f>
        <v>eva and the lost pony</v>
      </c>
      <c r="F2077" s="3" t="str">
        <f>"by Rebecca Elliott"</f>
        <v>by Rebecca Elliott</v>
      </c>
      <c r="G2077" s="3" t="str">
        <f>"Scholastic"</f>
        <v>Scholastic</v>
      </c>
      <c r="H2077" s="2" t="str">
        <f>"2018"</f>
        <v>2018</v>
      </c>
      <c r="I2077" s="3" t="str">
        <f>""</f>
        <v/>
      </c>
    </row>
    <row r="2078" spans="1:9" x14ac:dyDescent="0.3">
      <c r="A2078" s="2">
        <v>2077</v>
      </c>
      <c r="B2078" s="4" t="s">
        <v>33</v>
      </c>
      <c r="C2078" s="3" t="str">
        <f>"TFC000001364"</f>
        <v>TFC000001364</v>
      </c>
      <c r="D2078" s="3" t="str">
        <f>"F800-20-1522-(AR 3.2)"</f>
        <v>F800-20-1522-(AR 3.2)</v>
      </c>
      <c r="E2078" s="3" t="str">
        <f>"Big scary monster"</f>
        <v>Big scary monster</v>
      </c>
      <c r="F2078" s="3" t="str">
        <f>"Thomas Docherty"</f>
        <v>Thomas Docherty</v>
      </c>
      <c r="G2078" s="3" t="str">
        <f>"Templar Publishing"</f>
        <v>Templar Publishing</v>
      </c>
      <c r="H2078" s="2" t="str">
        <f>"2009"</f>
        <v>2009</v>
      </c>
      <c r="I2078" s="2" t="s">
        <v>2</v>
      </c>
    </row>
    <row r="2079" spans="1:9" x14ac:dyDescent="0.3">
      <c r="A2079" s="2">
        <v>2078</v>
      </c>
      <c r="B2079" s="4" t="s">
        <v>33</v>
      </c>
      <c r="C2079" s="3" t="str">
        <f>"TFC000001382"</f>
        <v>TFC000001382</v>
      </c>
      <c r="D2079" s="3" t="str">
        <f>"F800-20-1540-(AR 3.2)"</f>
        <v>F800-20-1540-(AR 3.2)</v>
      </c>
      <c r="E2079" s="3" t="str">
        <f>"Stories of Santa"</f>
        <v>Stories of Santa</v>
      </c>
      <c r="F2079" s="3" t="str">
        <f>"retold by Russell Punter ; illustrated by Philip Webb"</f>
        <v>retold by Russell Punter ; illustrated by Philip Webb</v>
      </c>
      <c r="G2079" s="3" t="str">
        <f>"Usborne"</f>
        <v>Usborne</v>
      </c>
      <c r="H2079" s="2" t="str">
        <f>"2006"</f>
        <v>2006</v>
      </c>
      <c r="I2079" s="2" t="s">
        <v>2</v>
      </c>
    </row>
    <row r="2080" spans="1:9" x14ac:dyDescent="0.3">
      <c r="A2080" s="2">
        <v>2079</v>
      </c>
      <c r="B2080" s="4" t="s">
        <v>33</v>
      </c>
      <c r="C2080" s="3" t="str">
        <f>"TFC000001328"</f>
        <v>TFC000001328</v>
      </c>
      <c r="D2080" s="3" t="str">
        <f>"F400-20-1485-(AR 3.2)"</f>
        <v>F400-20-1485-(AR 3.2)</v>
      </c>
      <c r="E2080" s="3" t="str">
        <f>"Endangered animals"</f>
        <v>Endangered animals</v>
      </c>
      <c r="F2080" s="3" t="str">
        <f>"by Faith Mcnulty ; illustrated by Carol Schwarts"</f>
        <v>by Faith Mcnulty ; illustrated by Carol Schwarts</v>
      </c>
      <c r="G2080" s="3" t="str">
        <f>"Scholastic"</f>
        <v>Scholastic</v>
      </c>
      <c r="H2080" s="2" t="str">
        <f>"1996"</f>
        <v>1996</v>
      </c>
      <c r="I2080" s="3" t="str">
        <f>""</f>
        <v/>
      </c>
    </row>
    <row r="2081" spans="1:9" x14ac:dyDescent="0.3">
      <c r="A2081" s="2">
        <v>2080</v>
      </c>
      <c r="B2081" s="4" t="s">
        <v>33</v>
      </c>
      <c r="C2081" s="3" t="str">
        <f>"TFC000001330"</f>
        <v>TFC000001330</v>
      </c>
      <c r="D2081" s="3" t="str">
        <f>"F800-20-1488-(AR 3.2)"</f>
        <v>F800-20-1488-(AR 3.2)</v>
      </c>
      <c r="E2081" s="3" t="str">
        <f>"Red sings from treetops : a year in colors"</f>
        <v>Red sings from treetops : a year in colors</v>
      </c>
      <c r="F2081" s="3" t="str">
        <f>"by Joyce Sidman ; illustrated by Pamela Zagarenski"</f>
        <v>by Joyce Sidman ; illustrated by Pamela Zagarenski</v>
      </c>
      <c r="G2081" s="3" t="str">
        <f>"Houghton Mifflin Books for Children"</f>
        <v>Houghton Mifflin Books for Children</v>
      </c>
      <c r="H2081" s="2" t="str">
        <f>"2009"</f>
        <v>2009</v>
      </c>
      <c r="I2081" s="3" t="str">
        <f>""</f>
        <v/>
      </c>
    </row>
    <row r="2082" spans="1:9" x14ac:dyDescent="0.3">
      <c r="A2082" s="2">
        <v>2081</v>
      </c>
      <c r="B2082" s="4" t="s">
        <v>33</v>
      </c>
      <c r="C2082" s="3" t="str">
        <f>"TFC000001332"</f>
        <v>TFC000001332</v>
      </c>
      <c r="D2082" s="3" t="str">
        <f>"F800-20-1490-(AR 3.2)"</f>
        <v>F800-20-1490-(AR 3.2)</v>
      </c>
      <c r="E2082" s="3" t="str">
        <f>"Arthur meets the president"</f>
        <v>Arthur meets the president</v>
      </c>
      <c r="F2082" s="3" t="str">
        <f>"by Marc Brown"</f>
        <v>by Marc Brown</v>
      </c>
      <c r="G2082" s="3" t="str">
        <f>"Little, Brown and Company"</f>
        <v>Little, Brown and Company</v>
      </c>
      <c r="H2082" s="2" t="str">
        <f>"2011"</f>
        <v>2011</v>
      </c>
      <c r="I2082" s="3" t="str">
        <f>""</f>
        <v/>
      </c>
    </row>
    <row r="2083" spans="1:9" x14ac:dyDescent="0.3">
      <c r="A2083" s="2">
        <v>2082</v>
      </c>
      <c r="B2083" s="4" t="s">
        <v>33</v>
      </c>
      <c r="C2083" s="3" t="str">
        <f>"TFC000001333"</f>
        <v>TFC000001333</v>
      </c>
      <c r="D2083" s="3" t="str">
        <f>"F800-20-1491-(AR 3.2)"</f>
        <v>F800-20-1491-(AR 3.2)</v>
      </c>
      <c r="E2083" s="3" t="str">
        <f>"My brother"</f>
        <v>My brother</v>
      </c>
      <c r="F2083" s="3" t="str">
        <f>"Anthony Browne"</f>
        <v>Anthony Browne</v>
      </c>
      <c r="G2083" s="3" t="str">
        <f>"Picture Corgi"</f>
        <v>Picture Corgi</v>
      </c>
      <c r="H2083" s="2" t="str">
        <f>"2009"</f>
        <v>2009</v>
      </c>
      <c r="I2083" s="3" t="str">
        <f>""</f>
        <v/>
      </c>
    </row>
    <row r="2084" spans="1:9" x14ac:dyDescent="0.3">
      <c r="A2084" s="2">
        <v>2083</v>
      </c>
      <c r="B2084" s="4" t="s">
        <v>33</v>
      </c>
      <c r="C2084" s="3" t="str">
        <f>"TFC000001334"</f>
        <v>TFC000001334</v>
      </c>
      <c r="D2084" s="3" t="str">
        <f>"F800-20-1492-(AR 3.2)"</f>
        <v>F800-20-1492-(AR 3.2)</v>
      </c>
      <c r="E2084" s="3" t="str">
        <f>"Spaghetti and meatballs for all! : a mathematical story"</f>
        <v>Spaghetti and meatballs for all! : a mathematical story</v>
      </c>
      <c r="F2084" s="3" t="str">
        <f>"written by Marilyn Burns ; illustrated by Debbie Tilley"</f>
        <v>written by Marilyn Burns ; illustrated by Debbie Tilley</v>
      </c>
      <c r="G2084" s="3" t="str">
        <f>"Scholastic"</f>
        <v>Scholastic</v>
      </c>
      <c r="H2084" s="2" t="str">
        <f>"2008"</f>
        <v>2008</v>
      </c>
      <c r="I2084" s="3" t="str">
        <f>""</f>
        <v/>
      </c>
    </row>
    <row r="2085" spans="1:9" x14ac:dyDescent="0.3">
      <c r="A2085" s="2">
        <v>2084</v>
      </c>
      <c r="B2085" s="4" t="s">
        <v>33</v>
      </c>
      <c r="C2085" s="3" t="str">
        <f>"TFC000001335"</f>
        <v>TFC000001335</v>
      </c>
      <c r="D2085" s="3" t="str">
        <f>"F800-20-1493-(AR 3.2)"</f>
        <v>F800-20-1493-(AR 3.2)</v>
      </c>
      <c r="E2085" s="3" t="str">
        <f>"(The)ginger-bread boy"</f>
        <v>(The)ginger-bread boy</v>
      </c>
      <c r="F2085" s="3" t="str">
        <f>"Paul Galdone"</f>
        <v>Paul Galdone</v>
      </c>
      <c r="G2085" s="3" t="str">
        <f>"Clarion Books"</f>
        <v>Clarion Books</v>
      </c>
      <c r="H2085" s="2" t="str">
        <f>"1975"</f>
        <v>1975</v>
      </c>
      <c r="I2085" s="3" t="str">
        <f>""</f>
        <v/>
      </c>
    </row>
    <row r="2086" spans="1:9" x14ac:dyDescent="0.3">
      <c r="A2086" s="2">
        <v>2085</v>
      </c>
      <c r="B2086" s="4" t="s">
        <v>33</v>
      </c>
      <c r="C2086" s="3" t="str">
        <f>"TFC000001336"</f>
        <v>TFC000001336</v>
      </c>
      <c r="D2086" s="3" t="str">
        <f>"F800-20-1494-(AR 3.2)"</f>
        <v>F800-20-1494-(AR 3.2)</v>
      </c>
      <c r="E2086" s="3" t="str">
        <f>"Hang a left at Venus"</f>
        <v>Hang a left at Venus</v>
      </c>
      <c r="F2086" s="3" t="str">
        <f>"by Dan Greenburg ; illustrated by Jack E. Davis"</f>
        <v>by Dan Greenburg ; illustrated by Jack E. Davis</v>
      </c>
      <c r="G2086" s="3" t="str">
        <f>"Grosset &amp; Dunlap"</f>
        <v>Grosset &amp; Dunlap</v>
      </c>
      <c r="H2086" s="2" t="str">
        <f>"1999"</f>
        <v>1999</v>
      </c>
      <c r="I2086" s="3" t="str">
        <f>""</f>
        <v/>
      </c>
    </row>
    <row r="2087" spans="1:9" x14ac:dyDescent="0.3">
      <c r="A2087" s="2">
        <v>2086</v>
      </c>
      <c r="B2087" s="4" t="s">
        <v>33</v>
      </c>
      <c r="C2087" s="3" t="str">
        <f>"TFC000001337"</f>
        <v>TFC000001337</v>
      </c>
      <c r="D2087" s="3" t="str">
        <f>"F800-20-1495-(AR 3.2)"</f>
        <v>F800-20-1495-(AR 3.2)</v>
      </c>
      <c r="E2087" s="3" t="str">
        <f>"(The)boy who cried bigfoot"</f>
        <v>(The)boy who cried bigfoot</v>
      </c>
      <c r="F2087" s="3" t="str">
        <f>"by Dan Greenburg ; illustrated by Jack E. Davis"</f>
        <v>by Dan Greenburg ; illustrated by Jack E. Davis</v>
      </c>
      <c r="G2087" s="3" t="str">
        <f>"Grosset &amp; Dunlap"</f>
        <v>Grosset &amp; Dunlap</v>
      </c>
      <c r="H2087" s="2" t="str">
        <f>"1999"</f>
        <v>1999</v>
      </c>
      <c r="I2087" s="3" t="str">
        <f>""</f>
        <v/>
      </c>
    </row>
    <row r="2088" spans="1:9" x14ac:dyDescent="0.3">
      <c r="A2088" s="2">
        <v>2087</v>
      </c>
      <c r="B2088" s="4" t="s">
        <v>33</v>
      </c>
      <c r="C2088" s="3" t="str">
        <f>"TFC000001339"</f>
        <v>TFC000001339</v>
      </c>
      <c r="D2088" s="3" t="str">
        <f>"F800-20-1497-(AR 3.2)"</f>
        <v>F800-20-1497-(AR 3.2)</v>
      </c>
      <c r="E2088" s="3" t="str">
        <f>"Pompeii...buried alive!"</f>
        <v>Pompeii...buried alive!</v>
      </c>
      <c r="F2088" s="3" t="str">
        <f>"by Edith Kunhardt ; illustrated by Michael Eagle"</f>
        <v>by Edith Kunhardt ; illustrated by Michael Eagle</v>
      </c>
      <c r="G2088" s="3" t="str">
        <f>"Random House"</f>
        <v>Random House</v>
      </c>
      <c r="H2088" s="2" t="str">
        <f>"1987"</f>
        <v>1987</v>
      </c>
      <c r="I2088" s="3" t="str">
        <f>""</f>
        <v/>
      </c>
    </row>
    <row r="2089" spans="1:9" x14ac:dyDescent="0.3">
      <c r="A2089" s="2">
        <v>2088</v>
      </c>
      <c r="B2089" s="4" t="s">
        <v>33</v>
      </c>
      <c r="C2089" s="3" t="str">
        <f>"TFC000001340"</f>
        <v>TFC000001340</v>
      </c>
      <c r="D2089" s="3" t="str">
        <f>"F800-20-1498-(AR 3.2)"</f>
        <v>F800-20-1498-(AR 3.2)</v>
      </c>
      <c r="E2089" s="3" t="str">
        <f>"Measuring Penny"</f>
        <v>Measuring Penny</v>
      </c>
      <c r="F2089" s="3" t="str">
        <f>"written and illustrated by Loreen Leedy"</f>
        <v>written and illustrated by Loreen Leedy</v>
      </c>
      <c r="G2089" s="3" t="str">
        <f>"Henry Holt and Company"</f>
        <v>Henry Holt and Company</v>
      </c>
      <c r="H2089" s="2" t="str">
        <f>"2012"</f>
        <v>2012</v>
      </c>
      <c r="I2089" s="3" t="str">
        <f>""</f>
        <v/>
      </c>
    </row>
    <row r="2090" spans="1:9" x14ac:dyDescent="0.3">
      <c r="A2090" s="2">
        <v>2089</v>
      </c>
      <c r="B2090" s="4" t="s">
        <v>33</v>
      </c>
      <c r="C2090" s="3" t="str">
        <f>"TFC000001341"</f>
        <v>TFC000001341</v>
      </c>
      <c r="D2090" s="3" t="str">
        <f>"F800-20-1499-(AR 3.2)"</f>
        <v>F800-20-1499-(AR 3.2)</v>
      </c>
      <c r="E2090" s="3" t="str">
        <f>"Madeline at the White House"</f>
        <v>Madeline at the White House</v>
      </c>
      <c r="F2090" s="3" t="str">
        <f>"story and pictures by John Bemelmans Marciano"</f>
        <v>story and pictures by John Bemelmans Marciano</v>
      </c>
      <c r="G2090" s="3" t="str">
        <f>"Puffin Books"</f>
        <v>Puffin Books</v>
      </c>
      <c r="H2090" s="2" t="str">
        <f>"2016"</f>
        <v>2016</v>
      </c>
      <c r="I2090" s="3" t="str">
        <f>""</f>
        <v/>
      </c>
    </row>
    <row r="2091" spans="1:9" x14ac:dyDescent="0.3">
      <c r="A2091" s="2">
        <v>2090</v>
      </c>
      <c r="B2091" s="4" t="s">
        <v>33</v>
      </c>
      <c r="C2091" s="3" t="str">
        <f>"TFC000001342"</f>
        <v>TFC000001342</v>
      </c>
      <c r="D2091" s="3" t="str">
        <f>"F800-20-1500-(AR 3.2)"</f>
        <v>F800-20-1500-(AR 3.2)</v>
      </c>
      <c r="E2091" s="3" t="str">
        <f>"(The)bald bandit"</f>
        <v>(The)bald bandit</v>
      </c>
      <c r="F2091" s="3" t="str">
        <f>"by Ron Roy ; illustrated by John Steven Gurney"</f>
        <v>by Ron Roy ; illustrated by John Steven Gurney</v>
      </c>
      <c r="G2091" s="3" t="str">
        <f>"Random House"</f>
        <v>Random House</v>
      </c>
      <c r="H2091" s="2" t="str">
        <f>"2015"</f>
        <v>2015</v>
      </c>
      <c r="I2091" s="3" t="str">
        <f>""</f>
        <v/>
      </c>
    </row>
    <row r="2092" spans="1:9" x14ac:dyDescent="0.3">
      <c r="A2092" s="2">
        <v>2091</v>
      </c>
      <c r="B2092" s="4" t="s">
        <v>33</v>
      </c>
      <c r="C2092" s="3" t="str">
        <f>"TFC000001343"</f>
        <v>TFC000001343</v>
      </c>
      <c r="D2092" s="3" t="str">
        <f>"F800-20-1501-(AR 3.2)"</f>
        <v>F800-20-1501-(AR 3.2)</v>
      </c>
      <c r="E2092" s="3" t="str">
        <f>"Chicken soup with rice : a book of months"</f>
        <v>Chicken soup with rice : a book of months</v>
      </c>
      <c r="F2092" s="3" t="str">
        <f>"Maurice Sendak"</f>
        <v>Maurice Sendak</v>
      </c>
      <c r="G2092" s="3" t="str">
        <f>"Harper"</f>
        <v>Harper</v>
      </c>
      <c r="H2092" s="2" t="str">
        <f>"2017"</f>
        <v>2017</v>
      </c>
      <c r="I2092" s="3" t="str">
        <f>""</f>
        <v/>
      </c>
    </row>
    <row r="2093" spans="1:9" x14ac:dyDescent="0.3">
      <c r="A2093" s="2">
        <v>2092</v>
      </c>
      <c r="B2093" s="4" t="s">
        <v>33</v>
      </c>
      <c r="C2093" s="3" t="str">
        <f>"TFC000001344"</f>
        <v>TFC000001344</v>
      </c>
      <c r="D2093" s="3" t="str">
        <f>"F800-20-1502-(AR 3.2)"</f>
        <v>F800-20-1502-(AR 3.2)</v>
      </c>
      <c r="E2093" s="3" t="str">
        <f>"Nate the Great and the hungry book club"</f>
        <v>Nate the Great and the hungry book club</v>
      </c>
      <c r="F2093" s="3" t="str">
        <f>"by Marjorie Weinman Sharmat, Mitchell Sharmat ; illustrated by Jody Wheeler in the style of Marc Simont"</f>
        <v>by Marjorie Weinman Sharmat, Mitchell Sharmat ; illustrated by Jody Wheeler in the style of Marc Simont</v>
      </c>
      <c r="G2093" s="3" t="str">
        <f>"Yearling Book"</f>
        <v>Yearling Book</v>
      </c>
      <c r="H2093" s="2" t="str">
        <f>"2011"</f>
        <v>2011</v>
      </c>
      <c r="I2093" s="3" t="str">
        <f>""</f>
        <v/>
      </c>
    </row>
    <row r="2094" spans="1:9" x14ac:dyDescent="0.3">
      <c r="A2094" s="2">
        <v>2093</v>
      </c>
      <c r="B2094" s="4" t="s">
        <v>33</v>
      </c>
      <c r="C2094" s="3" t="str">
        <f>"TFC000001345"</f>
        <v>TFC000001345</v>
      </c>
      <c r="D2094" s="3" t="str">
        <f>"F800-20-1503-(AR 3.2)"</f>
        <v>F800-20-1503-(AR 3.2)</v>
      </c>
      <c r="E2094" s="3" t="str">
        <f>"Heckedy peg"</f>
        <v>Heckedy peg</v>
      </c>
      <c r="F2094" s="3" t="str">
        <f>"by Audrey Wood ; illustrated by Don Wood"</f>
        <v>by Audrey Wood ; illustrated by Don Wood</v>
      </c>
      <c r="G2094" s="3" t="str">
        <f>"Harcourt Brace &amp; Company"</f>
        <v>Harcourt Brace &amp; Company</v>
      </c>
      <c r="H2094" s="2" t="str">
        <f>"1987"</f>
        <v>1987</v>
      </c>
      <c r="I2094" s="3" t="str">
        <f>""</f>
        <v/>
      </c>
    </row>
    <row r="2095" spans="1:9" x14ac:dyDescent="0.3">
      <c r="A2095" s="2">
        <v>2094</v>
      </c>
      <c r="B2095" s="4" t="s">
        <v>33</v>
      </c>
      <c r="C2095" s="3" t="str">
        <f>"TFC000001346"</f>
        <v>TFC000001346</v>
      </c>
      <c r="D2095" s="3" t="str">
        <f>"F800-20-1504-(AR 3.2)"</f>
        <v>F800-20-1504-(AR 3.2)</v>
      </c>
      <c r="E2095" s="3" t="str">
        <f>"Owl moon"</f>
        <v>Owl moon</v>
      </c>
      <c r="F2095" s="3" t="str">
        <f>"by Jane Yolen ; illustrated by John Schoenherr"</f>
        <v>by Jane Yolen ; illustrated by John Schoenherr</v>
      </c>
      <c r="G2095" s="3" t="str">
        <f>"Philomel Books"</f>
        <v>Philomel Books</v>
      </c>
      <c r="H2095" s="2" t="str">
        <f>"1987"</f>
        <v>1987</v>
      </c>
      <c r="I2095" s="3" t="str">
        <f>""</f>
        <v/>
      </c>
    </row>
    <row r="2096" spans="1:9" x14ac:dyDescent="0.3">
      <c r="A2096" s="2">
        <v>2095</v>
      </c>
      <c r="B2096" s="4" t="s">
        <v>33</v>
      </c>
      <c r="C2096" s="3" t="str">
        <f>"TFC000001347"</f>
        <v>TFC000001347</v>
      </c>
      <c r="D2096" s="3" t="str">
        <f>"F800-20-1505-(AR 3.2)"</f>
        <v>F800-20-1505-(AR 3.2)</v>
      </c>
      <c r="E2096" s="3" t="str">
        <f>"No roses for Harry"</f>
        <v>No roses for Harry</v>
      </c>
      <c r="F2096" s="3" t="str">
        <f>"by Gene Zion ; pictures by Margaret Bloy Graham"</f>
        <v>by Gene Zion ; pictures by Margaret Bloy Graham</v>
      </c>
      <c r="G2096" s="3" t="str">
        <f>"HarperCollins:Moonjin Media"</f>
        <v>HarperCollins:Moonjin Media</v>
      </c>
      <c r="H2096" s="2" t="str">
        <f>"1986"</f>
        <v>1986</v>
      </c>
      <c r="I2096" s="3" t="str">
        <f>""</f>
        <v/>
      </c>
    </row>
    <row r="2097" spans="1:9" x14ac:dyDescent="0.3">
      <c r="A2097" s="2">
        <v>2096</v>
      </c>
      <c r="B2097" s="4" t="s">
        <v>33</v>
      </c>
      <c r="C2097" s="3" t="str">
        <f>"TFC000001348"</f>
        <v>TFC000001348</v>
      </c>
      <c r="D2097" s="3" t="str">
        <f>"F800-20-1506-(AR 3.2)"</f>
        <v>F800-20-1506-(AR 3.2)</v>
      </c>
      <c r="E2097" s="3" t="str">
        <f>"When the wind stops"</f>
        <v>When the wind stops</v>
      </c>
      <c r="F2097" s="3" t="str">
        <f>"by Charlotte Zolotow ; illustrated by Stefano Vitale"</f>
        <v>by Charlotte Zolotow ; illustrated by Stefano Vitale</v>
      </c>
      <c r="G2097" s="3" t="str">
        <f>"HarperCollins Publishers"</f>
        <v>HarperCollins Publishers</v>
      </c>
      <c r="H2097" s="2" t="str">
        <f>"1995"</f>
        <v>1995</v>
      </c>
      <c r="I2097" s="3" t="str">
        <f>""</f>
        <v/>
      </c>
    </row>
    <row r="2098" spans="1:9" x14ac:dyDescent="0.3">
      <c r="A2098" s="2">
        <v>2097</v>
      </c>
      <c r="B2098" s="4" t="s">
        <v>33</v>
      </c>
      <c r="C2098" s="3" t="str">
        <f>"TFC000001349"</f>
        <v>TFC000001349</v>
      </c>
      <c r="D2098" s="3" t="str">
        <f>"F800-20-1507-(AR 3.2)"</f>
        <v>F800-20-1507-(AR 3.2)</v>
      </c>
      <c r="E2098" s="3" t="str">
        <f>"(The)mystery of stolen diamonds"</f>
        <v>(The)mystery of stolen diamonds</v>
      </c>
      <c r="F2098" s="3" t="str">
        <f>"by David A. Adler ; illustrated by Susanna Natti"</f>
        <v>by David A. Adler ; illustrated by Susanna Natti</v>
      </c>
      <c r="G2098" s="3" t="str">
        <f>"Puffin Books"</f>
        <v>Puffin Books</v>
      </c>
      <c r="H2098" s="2" t="str">
        <f>"2010"</f>
        <v>2010</v>
      </c>
      <c r="I2098" s="3" t="str">
        <f>""</f>
        <v/>
      </c>
    </row>
    <row r="2099" spans="1:9" x14ac:dyDescent="0.3">
      <c r="A2099" s="2">
        <v>2098</v>
      </c>
      <c r="B2099" s="4" t="s">
        <v>33</v>
      </c>
      <c r="C2099" s="3" t="str">
        <f>"TFC000001351"</f>
        <v>TFC000001351</v>
      </c>
      <c r="D2099" s="3" t="str">
        <f>"F800-20-1509-(AR 3.2)"</f>
        <v>F800-20-1509-(AR 3.2)</v>
      </c>
      <c r="E2099" s="3" t="str">
        <f>"Extra yarn"</f>
        <v>Extra yarn</v>
      </c>
      <c r="F2099" s="3" t="str">
        <f>"by Mac Barnett ; illustrated by Jon Klassen"</f>
        <v>by Mac Barnett ; illustrated by Jon Klassen</v>
      </c>
      <c r="G2099" s="3" t="str">
        <f>"Balzer + Bray"</f>
        <v>Balzer + Bray</v>
      </c>
      <c r="H2099" s="2" t="str">
        <f>"2012"</f>
        <v>2012</v>
      </c>
      <c r="I2099" s="3" t="str">
        <f>""</f>
        <v/>
      </c>
    </row>
    <row r="2100" spans="1:9" x14ac:dyDescent="0.3">
      <c r="A2100" s="2">
        <v>2099</v>
      </c>
      <c r="B2100" s="4" t="s">
        <v>33</v>
      </c>
      <c r="C2100" s="3" t="str">
        <f>"TFC000001352"</f>
        <v>TFC000001352</v>
      </c>
      <c r="D2100" s="3" t="str">
        <f>"F800-20-1510-(AR 3.2)"</f>
        <v>F800-20-1510-(AR 3.2)</v>
      </c>
      <c r="E2100" s="3" t="str">
        <f>"Ivy + Bean. 1"</f>
        <v>Ivy + Bean. 1</v>
      </c>
      <c r="F2100" s="3" t="str">
        <f>"written by Annie Barrows ; illustrated by Sophie Blackall"</f>
        <v>written by Annie Barrows ; illustrated by Sophie Blackall</v>
      </c>
      <c r="G2100" s="3" t="str">
        <f>"Chronicle Books"</f>
        <v>Chronicle Books</v>
      </c>
      <c r="H2100" s="2" t="str">
        <f>"2006"</f>
        <v>2006</v>
      </c>
      <c r="I2100" s="3" t="str">
        <f>""</f>
        <v/>
      </c>
    </row>
    <row r="2101" spans="1:9" x14ac:dyDescent="0.3">
      <c r="A2101" s="2">
        <v>2100</v>
      </c>
      <c r="B2101" s="4" t="s">
        <v>33</v>
      </c>
      <c r="C2101" s="3" t="str">
        <f>"TFC000001353"</f>
        <v>TFC000001353</v>
      </c>
      <c r="D2101" s="3" t="str">
        <f>"F800-20-1511-(AR 3.2)"</f>
        <v>F800-20-1511-(AR 3.2)</v>
      </c>
      <c r="E2101" s="3" t="str">
        <f>"(The)Glow-worm who lost her glow"</f>
        <v>(The)Glow-worm who lost her glow</v>
      </c>
      <c r="F2101" s="3" t="str">
        <f>"by William Bedford ; illustrated by Sophie Joyce"</f>
        <v>by William Bedford ; illustrated by Sophie Joyce</v>
      </c>
      <c r="G2101" s="3" t="str">
        <f>"Egmont"</f>
        <v>Egmont</v>
      </c>
      <c r="H2101" s="2" t="str">
        <f>"2004"</f>
        <v>2004</v>
      </c>
      <c r="I2101" s="3" t="str">
        <f>""</f>
        <v/>
      </c>
    </row>
    <row r="2102" spans="1:9" x14ac:dyDescent="0.3">
      <c r="A2102" s="2">
        <v>2101</v>
      </c>
      <c r="B2102" s="4" t="s">
        <v>33</v>
      </c>
      <c r="C2102" s="3" t="str">
        <f>"TFC000001354"</f>
        <v>TFC000001354</v>
      </c>
      <c r="D2102" s="3" t="str">
        <f>"F800-20-1512-(AR 3.2)"</f>
        <v>F800-20-1512-(AR 3.2)</v>
      </c>
      <c r="E2102" s="3" t="str">
        <f>"Captain Jack and the Pirates"</f>
        <v>Captain Jack and the Pirates</v>
      </c>
      <c r="F2102" s="3" t="str">
        <f>"Peter Bently ; pictures by Helen Oxenbury"</f>
        <v>Peter Bently ; pictures by Helen Oxenbury</v>
      </c>
      <c r="G2102" s="3" t="str">
        <f>"Dial Books for Young Readers"</f>
        <v>Dial Books for Young Readers</v>
      </c>
      <c r="H2102" s="2" t="str">
        <f>"2016"</f>
        <v>2016</v>
      </c>
      <c r="I2102" s="3" t="str">
        <f>""</f>
        <v/>
      </c>
    </row>
    <row r="2103" spans="1:9" x14ac:dyDescent="0.3">
      <c r="A2103" s="2">
        <v>2102</v>
      </c>
      <c r="B2103" s="4" t="s">
        <v>33</v>
      </c>
      <c r="C2103" s="3" t="str">
        <f>"TFC000001355"</f>
        <v>TFC000001355</v>
      </c>
      <c r="D2103" s="3" t="str">
        <f>"F800-20-1513-(AR 3.2)"</f>
        <v>F800-20-1513-(AR 3.2)</v>
      </c>
      <c r="E2103" s="3" t="str">
        <f>"(The)berenstain bears and the bad influence"</f>
        <v>(The)berenstain bears and the bad influence</v>
      </c>
      <c r="F2103" s="3" t="str">
        <f>"Stan Berenstain, Jan Berenstain, Mike Berenstain"</f>
        <v>Stan Berenstain, Jan Berenstain, Mike Berenstain</v>
      </c>
      <c r="G2103" s="3" t="str">
        <f>"HarperFestival"</f>
        <v>HarperFestival</v>
      </c>
      <c r="H2103" s="2" t="str">
        <f>"2008"</f>
        <v>2008</v>
      </c>
      <c r="I2103" s="3" t="str">
        <f>""</f>
        <v/>
      </c>
    </row>
    <row r="2104" spans="1:9" x14ac:dyDescent="0.3">
      <c r="A2104" s="2">
        <v>2103</v>
      </c>
      <c r="B2104" s="4" t="s">
        <v>33</v>
      </c>
      <c r="C2104" s="3" t="str">
        <f>"TFC000001356"</f>
        <v>TFC000001356</v>
      </c>
      <c r="D2104" s="3" t="str">
        <f>"F800-20-1514-(AR 3.2)"</f>
        <v>F800-20-1514-(AR 3.2)</v>
      </c>
      <c r="E2104" s="3" t="str">
        <f>"Christmas trolls"</f>
        <v>Christmas trolls</v>
      </c>
      <c r="F2104" s="3" t="str">
        <f>"written and illustrated by Jan Brett"</f>
        <v>written and illustrated by Jan Brett</v>
      </c>
      <c r="G2104" s="3" t="str">
        <f>"Puffin Books"</f>
        <v>Puffin Books</v>
      </c>
      <c r="H2104" s="2" t="str">
        <f>"2000"</f>
        <v>2000</v>
      </c>
      <c r="I2104" s="3" t="str">
        <f>""</f>
        <v/>
      </c>
    </row>
    <row r="2105" spans="1:9" x14ac:dyDescent="0.3">
      <c r="A2105" s="2">
        <v>2104</v>
      </c>
      <c r="B2105" s="4" t="s">
        <v>33</v>
      </c>
      <c r="C2105" s="3" t="str">
        <f>"TFC000001357"</f>
        <v>TFC000001357</v>
      </c>
      <c r="D2105" s="3" t="str">
        <f>"F800-20-1515-(AR 3.2)"</f>
        <v>F800-20-1515-(AR 3.2)</v>
      </c>
      <c r="E2105" s="3" t="str">
        <f>"(The)squirrels who squabbled"</f>
        <v>(The)squirrels who squabbled</v>
      </c>
      <c r="F2105" s="3" t="str">
        <f>"Rachel Bright ; illustrated by Jim Field"</f>
        <v>Rachel Bright ; illustrated by Jim Field</v>
      </c>
      <c r="G2105" s="3" t="str">
        <f>"Orchard"</f>
        <v>Orchard</v>
      </c>
      <c r="H2105" s="2" t="str">
        <f>"2018"</f>
        <v>2018</v>
      </c>
      <c r="I2105" s="3" t="str">
        <f>""</f>
        <v/>
      </c>
    </row>
    <row r="2106" spans="1:9" x14ac:dyDescent="0.3">
      <c r="A2106" s="2">
        <v>2105</v>
      </c>
      <c r="B2106" s="4" t="s">
        <v>33</v>
      </c>
      <c r="C2106" s="3" t="str">
        <f>"TFC000001358"</f>
        <v>TFC000001358</v>
      </c>
      <c r="D2106" s="3" t="str">
        <f>"F800-20-1516-(AR 3.2)"</f>
        <v>F800-20-1516-(AR 3.2)</v>
      </c>
      <c r="E2106" s="3" t="str">
        <f>"(The)squirrels who squabbled"</f>
        <v>(The)squirrels who squabbled</v>
      </c>
      <c r="F2106" s="3" t="str">
        <f>"Rachel Bright ; illustrated by Jim Field"</f>
        <v>Rachel Bright ; illustrated by Jim Field</v>
      </c>
      <c r="G2106" s="3" t="str">
        <f>"Scholastic Press"</f>
        <v>Scholastic Press</v>
      </c>
      <c r="H2106" s="2" t="str">
        <f>"2019"</f>
        <v>2019</v>
      </c>
      <c r="I2106" s="3" t="str">
        <f>""</f>
        <v/>
      </c>
    </row>
    <row r="2107" spans="1:9" x14ac:dyDescent="0.3">
      <c r="A2107" s="2">
        <v>2106</v>
      </c>
      <c r="B2107" s="4" t="s">
        <v>33</v>
      </c>
      <c r="C2107" s="3" t="str">
        <f>"TFC000001359"</f>
        <v>TFC000001359</v>
      </c>
      <c r="D2107" s="3" t="str">
        <f>"F800-20-1517-(AR 3.2)"</f>
        <v>F800-20-1517-(AR 3.2)</v>
      </c>
      <c r="E2107" s="3" t="str">
        <f>"His original adventure"</f>
        <v>His original adventure</v>
      </c>
      <c r="F2107" s="3" t="str">
        <f>"by Jeff Brown ; pictures by Macky Pamintuan"</f>
        <v>by Jeff Brown ; pictures by Macky Pamintuan</v>
      </c>
      <c r="G2107" s="3" t="str">
        <f>"Harper"</f>
        <v>Harper</v>
      </c>
      <c r="H2107" s="2" t="str">
        <f>"2009"</f>
        <v>2009</v>
      </c>
      <c r="I2107" s="3" t="str">
        <f>""</f>
        <v/>
      </c>
    </row>
    <row r="2108" spans="1:9" x14ac:dyDescent="0.3">
      <c r="A2108" s="2">
        <v>2107</v>
      </c>
      <c r="B2108" s="4" t="s">
        <v>33</v>
      </c>
      <c r="C2108" s="3" t="str">
        <f>"TFC000001360"</f>
        <v>TFC000001360</v>
      </c>
      <c r="D2108" s="3" t="str">
        <f>"F800-20-1518-(AR 3.2)"</f>
        <v>F800-20-1518-(AR 3.2)</v>
      </c>
      <c r="E2108" s="3" t="str">
        <f>"I am too absolutely small for school"</f>
        <v>I am too absolutely small for school</v>
      </c>
      <c r="F2108" s="3" t="str">
        <f>"Lauren Child"</f>
        <v>Lauren Child</v>
      </c>
      <c r="G2108" s="3" t="str">
        <f>"Orchard"</f>
        <v>Orchard</v>
      </c>
      <c r="H2108" s="2" t="str">
        <f>"2015"</f>
        <v>2015</v>
      </c>
      <c r="I2108" s="3" t="str">
        <f>""</f>
        <v/>
      </c>
    </row>
    <row r="2109" spans="1:9" x14ac:dyDescent="0.3">
      <c r="A2109" s="2">
        <v>2108</v>
      </c>
      <c r="B2109" s="4" t="s">
        <v>33</v>
      </c>
      <c r="C2109" s="3" t="str">
        <f>"TFC000001361"</f>
        <v>TFC000001361</v>
      </c>
      <c r="D2109" s="3" t="str">
        <f>"F800-20-1519-(AR 3.2)"</f>
        <v>F800-20-1519-(AR 3.2)</v>
      </c>
      <c r="E2109" s="3" t="str">
        <f>"Follow the moon home : a tale of one idea, twenty kids, and a hundred sea turtles"</f>
        <v>Follow the moon home : a tale of one idea, twenty kids, and a hundred sea turtles</v>
      </c>
      <c r="F2109" s="3" t="str">
        <f>"by Philippe Cousteau, Deborah Hopkinson ; illustrated by Meilo So"</f>
        <v>by Philippe Cousteau, Deborah Hopkinson ; illustrated by Meilo So</v>
      </c>
      <c r="G2109" s="3" t="str">
        <f>"Chronicle Books"</f>
        <v>Chronicle Books</v>
      </c>
      <c r="H2109" s="2" t="str">
        <f>"2016"</f>
        <v>2016</v>
      </c>
      <c r="I2109" s="3" t="str">
        <f>""</f>
        <v/>
      </c>
    </row>
    <row r="2110" spans="1:9" x14ac:dyDescent="0.3">
      <c r="A2110" s="2">
        <v>2109</v>
      </c>
      <c r="B2110" s="4" t="s">
        <v>33</v>
      </c>
      <c r="C2110" s="3" t="str">
        <f>"TFC000001362"</f>
        <v>TFC000001362</v>
      </c>
      <c r="D2110" s="3" t="str">
        <f>"F800-20-1520-(AR 3.2)"</f>
        <v>F800-20-1520-(AR 3.2)</v>
      </c>
      <c r="E2110" s="3" t="str">
        <f>"Diary of a fly"</f>
        <v>Diary of a fly</v>
      </c>
      <c r="F2110" s="3" t="str">
        <f>"by Doreen Cronin ; pictures by Harry Bliss"</f>
        <v>by Doreen Cronin ; pictures by Harry Bliss</v>
      </c>
      <c r="G2110" s="3" t="str">
        <f>"Joanna Cotler Books"</f>
        <v>Joanna Cotler Books</v>
      </c>
      <c r="H2110" s="2" t="str">
        <f>"2007"</f>
        <v>2007</v>
      </c>
      <c r="I2110" s="3" t="str">
        <f>""</f>
        <v/>
      </c>
    </row>
    <row r="2111" spans="1:9" x14ac:dyDescent="0.3">
      <c r="A2111" s="2">
        <v>2110</v>
      </c>
      <c r="B2111" s="4" t="s">
        <v>33</v>
      </c>
      <c r="C2111" s="3" t="str">
        <f>"TFC000001363"</f>
        <v>TFC000001363</v>
      </c>
      <c r="D2111" s="3" t="str">
        <f>"F800-20-1521-(AR 3.2)"</f>
        <v>F800-20-1521-(AR 3.2)</v>
      </c>
      <c r="E2111" s="3" t="str">
        <f>"Picture day perfection"</f>
        <v>Picture day perfection</v>
      </c>
      <c r="F2111" s="3" t="str">
        <f>"written by Deborah Diesen ; pictures by Dan Santat"</f>
        <v>written by Deborah Diesen ; pictures by Dan Santat</v>
      </c>
      <c r="G2111" s="3" t="str">
        <f>"Abrams Books for Young Readers"</f>
        <v>Abrams Books for Young Readers</v>
      </c>
      <c r="H2111" s="2" t="str">
        <f>"2013"</f>
        <v>2013</v>
      </c>
      <c r="I2111" s="3" t="str">
        <f>""</f>
        <v/>
      </c>
    </row>
    <row r="2112" spans="1:9" x14ac:dyDescent="0.3">
      <c r="A2112" s="2">
        <v>2111</v>
      </c>
      <c r="B2112" s="4" t="s">
        <v>33</v>
      </c>
      <c r="C2112" s="3" t="str">
        <f>"TFC000001366"</f>
        <v>TFC000001366</v>
      </c>
      <c r="D2112" s="3" t="str">
        <f>"F800-20-1524-(AR 3.2)"</f>
        <v>F800-20-1524-(AR 3.2)</v>
      </c>
      <c r="E2112" s="3" t="str">
        <f>"Whoever you are"</f>
        <v>Whoever you are</v>
      </c>
      <c r="F2112" s="3" t="str">
        <f>"by Mem Fox ; illustrated by Leslie Staub"</f>
        <v>by Mem Fox ; illustrated by Leslie Staub</v>
      </c>
      <c r="G2112" s="3" t="str">
        <f>"Harcourt"</f>
        <v>Harcourt</v>
      </c>
      <c r="H2112" s="2" t="str">
        <f>"2001"</f>
        <v>2001</v>
      </c>
      <c r="I2112" s="3" t="str">
        <f>""</f>
        <v/>
      </c>
    </row>
    <row r="2113" spans="1:9" x14ac:dyDescent="0.3">
      <c r="A2113" s="2">
        <v>2112</v>
      </c>
      <c r="B2113" s="4" t="s">
        <v>33</v>
      </c>
      <c r="C2113" s="3" t="str">
        <f>"TFC000001367"</f>
        <v>TFC000001367</v>
      </c>
      <c r="D2113" s="3" t="str">
        <f>"F800-20-1525-(AR 3.2)"</f>
        <v>F800-20-1525-(AR 3.2)</v>
      </c>
      <c r="E2113" s="3" t="str">
        <f>"Aliens in underpants save the world"</f>
        <v>Aliens in underpants save the world</v>
      </c>
      <c r="F2113" s="3" t="str">
        <f>"Claire Freedman ; illustrated by Ben Cort"</f>
        <v>Claire Freedman ; illustrated by Ben Cort</v>
      </c>
      <c r="G2113" s="3" t="str">
        <f>"Aladdin"</f>
        <v>Aladdin</v>
      </c>
      <c r="H2113" s="2" t="str">
        <f>"2012"</f>
        <v>2012</v>
      </c>
      <c r="I2113" s="3" t="str">
        <f>""</f>
        <v/>
      </c>
    </row>
    <row r="2114" spans="1:9" x14ac:dyDescent="0.3">
      <c r="A2114" s="2">
        <v>2113</v>
      </c>
      <c r="B2114" s="4" t="s">
        <v>33</v>
      </c>
      <c r="C2114" s="3" t="str">
        <f>"TFC000001369"</f>
        <v>TFC000001369</v>
      </c>
      <c r="D2114" s="3" t="str">
        <f>"F800-20-1527-(AR 3.2)"</f>
        <v>F800-20-1527-(AR 3.2)</v>
      </c>
      <c r="E2114" s="3" t="str">
        <f>"(The)princess in black"</f>
        <v>(The)princess in black</v>
      </c>
      <c r="F2114" s="3" t="str">
        <f>"Shannon Hale, Dean Hale ; illustrated by LeUyen Pham"</f>
        <v>Shannon Hale, Dean Hale ; illustrated by LeUyen Pham</v>
      </c>
      <c r="G2114" s="3" t="str">
        <f>"Candlewick Press"</f>
        <v>Candlewick Press</v>
      </c>
      <c r="H2114" s="2" t="str">
        <f>"2014"</f>
        <v>2014</v>
      </c>
      <c r="I2114" s="3" t="str">
        <f>""</f>
        <v/>
      </c>
    </row>
    <row r="2115" spans="1:9" x14ac:dyDescent="0.3">
      <c r="A2115" s="2">
        <v>2114</v>
      </c>
      <c r="B2115" s="4" t="s">
        <v>33</v>
      </c>
      <c r="C2115" s="3" t="str">
        <f>"TFC000001370"</f>
        <v>TFC000001370</v>
      </c>
      <c r="D2115" s="3" t="str">
        <f>"F800-20-1528-(AR 3.2)"</f>
        <v>F800-20-1528-(AR 3.2)</v>
      </c>
      <c r="E2115" s="3" t="str">
        <f>"(The)princess in black and the mysterious playdate"</f>
        <v>(The)princess in black and the mysterious playdate</v>
      </c>
      <c r="F2115" s="3" t="str">
        <f>"Shannon Hale, Dean Hale ; illustrated by LeUyen Pham"</f>
        <v>Shannon Hale, Dean Hale ; illustrated by LeUyen Pham</v>
      </c>
      <c r="G2115" s="3" t="str">
        <f>"Candlewick Press"</f>
        <v>Candlewick Press</v>
      </c>
      <c r="H2115" s="2" t="str">
        <f>"2017"</f>
        <v>2017</v>
      </c>
      <c r="I2115" s="3" t="str">
        <f>""</f>
        <v/>
      </c>
    </row>
    <row r="2116" spans="1:9" x14ac:dyDescent="0.3">
      <c r="A2116" s="2">
        <v>2115</v>
      </c>
      <c r="B2116" s="4" t="s">
        <v>33</v>
      </c>
      <c r="C2116" s="3" t="str">
        <f>"TFC000001371"</f>
        <v>TFC000001371</v>
      </c>
      <c r="D2116" s="3" t="str">
        <f>"F800-20-1529-(AR 3.2)"</f>
        <v>F800-20-1529-(AR 3.2)</v>
      </c>
      <c r="E2116" s="3" t="str">
        <f>"Gravity falls : lost legends : 4 all-new adventures"</f>
        <v>Gravity falls : lost legends : 4 all-new adventures</v>
      </c>
      <c r="F2116" s="3" t="str">
        <f>"by Alex Hirsch"</f>
        <v>by Alex Hirsch</v>
      </c>
      <c r="G2116" s="3" t="str">
        <f>"Disney Press"</f>
        <v>Disney Press</v>
      </c>
      <c r="H2116" s="2" t="str">
        <f>"2018"</f>
        <v>2018</v>
      </c>
      <c r="I2116" s="3" t="str">
        <f>""</f>
        <v/>
      </c>
    </row>
    <row r="2117" spans="1:9" x14ac:dyDescent="0.3">
      <c r="A2117" s="2">
        <v>2116</v>
      </c>
      <c r="B2117" s="4" t="s">
        <v>33</v>
      </c>
      <c r="C2117" s="3" t="str">
        <f>"TFC000001375"</f>
        <v>TFC000001375</v>
      </c>
      <c r="D2117" s="3" t="str">
        <f>"F800-20-1533-(AR 3.2)"</f>
        <v>F800-20-1533-(AR 3.2)</v>
      </c>
      <c r="E2117" s="3" t="str">
        <f>"Ten little caterpillars"</f>
        <v>Ten little caterpillars</v>
      </c>
      <c r="F2117" s="3" t="str">
        <f>"by Bill Martin Jr. ; illustrated by Lois Ehlert"</f>
        <v>by Bill Martin Jr. ; illustrated by Lois Ehlert</v>
      </c>
      <c r="G2117" s="3" t="str">
        <f>"Beach Lane Books"</f>
        <v>Beach Lane Books</v>
      </c>
      <c r="H2117" s="2" t="str">
        <f>"2011"</f>
        <v>2011</v>
      </c>
      <c r="I2117" s="3" t="str">
        <f>""</f>
        <v/>
      </c>
    </row>
    <row r="2118" spans="1:9" x14ac:dyDescent="0.3">
      <c r="A2118" s="2">
        <v>2117</v>
      </c>
      <c r="B2118" s="4" t="s">
        <v>33</v>
      </c>
      <c r="C2118" s="3" t="str">
        <f>"TFC000001377"</f>
        <v>TFC000001377</v>
      </c>
      <c r="D2118" s="3" t="str">
        <f>"F800-20-1535-(AR 3.2)"</f>
        <v>F800-20-1535-(AR 3.2)</v>
      </c>
      <c r="E2118" s="3" t="str">
        <f>"Me... Jane"</f>
        <v>Me... Jane</v>
      </c>
      <c r="F2118" s="3" t="str">
        <f>"Patrick McDonnell"</f>
        <v>Patrick McDonnell</v>
      </c>
      <c r="G2118" s="3" t="str">
        <f>"Little, Brown and Company"</f>
        <v>Little, Brown and Company</v>
      </c>
      <c r="H2118" s="2" t="str">
        <f>"2011"</f>
        <v>2011</v>
      </c>
      <c r="I2118" s="3" t="str">
        <f>""</f>
        <v/>
      </c>
    </row>
    <row r="2119" spans="1:9" x14ac:dyDescent="0.3">
      <c r="A2119" s="2">
        <v>2118</v>
      </c>
      <c r="B2119" s="4" t="s">
        <v>33</v>
      </c>
      <c r="C2119" s="3" t="str">
        <f>"TFC000001378"</f>
        <v>TFC000001378</v>
      </c>
      <c r="D2119" s="3" t="str">
        <f>"F800-20-1536-(AR 3.2)"</f>
        <v>F800-20-1536-(AR 3.2)</v>
      </c>
      <c r="E2119" s="3" t="str">
        <f>"Stink and the incredible super-galactic jawbreaker"</f>
        <v>Stink and the incredible super-galactic jawbreaker</v>
      </c>
      <c r="F2119" s="3" t="str">
        <f>"Megan McDonald ; illustrated by Peter H. Reynolds"</f>
        <v>Megan McDonald ; illustrated by Peter H. Reynolds</v>
      </c>
      <c r="G2119" s="3" t="str">
        <f>"Candlewick Press"</f>
        <v>Candlewick Press</v>
      </c>
      <c r="H2119" s="2" t="str">
        <f>"2013"</f>
        <v>2013</v>
      </c>
      <c r="I2119" s="3" t="str">
        <f>""</f>
        <v/>
      </c>
    </row>
    <row r="2120" spans="1:9" x14ac:dyDescent="0.3">
      <c r="A2120" s="2">
        <v>2119</v>
      </c>
      <c r="B2120" s="4" t="s">
        <v>33</v>
      </c>
      <c r="C2120" s="3" t="str">
        <f>"TFC000001379"</f>
        <v>TFC000001379</v>
      </c>
      <c r="D2120" s="3" t="str">
        <f>"F800-20-1537-(AR 3.2)"</f>
        <v>F800-20-1537-(AR 3.2)</v>
      </c>
      <c r="E2120" s="3" t="str">
        <f>"How I met my monster"</f>
        <v>How I met my monster</v>
      </c>
      <c r="F2120" s="3" t="str">
        <f>"written by Amanda Noll ; illustrated by Howard McWilliam"</f>
        <v>written by Amanda Noll ; illustrated by Howard McWilliam</v>
      </c>
      <c r="G2120" s="3" t="str">
        <f>"Flashlight Press"</f>
        <v>Flashlight Press</v>
      </c>
      <c r="H2120" s="2" t="str">
        <f>"2019"</f>
        <v>2019</v>
      </c>
      <c r="I2120" s="3" t="str">
        <f>""</f>
        <v/>
      </c>
    </row>
    <row r="2121" spans="1:9" x14ac:dyDescent="0.3">
      <c r="A2121" s="2">
        <v>2120</v>
      </c>
      <c r="B2121" s="4" t="s">
        <v>33</v>
      </c>
      <c r="C2121" s="3" t="str">
        <f>"TFC000001380"</f>
        <v>TFC000001380</v>
      </c>
      <c r="D2121" s="3" t="str">
        <f>"F800-20-1538-(AR 3.2)"</f>
        <v>F800-20-1538-(AR 3.2)</v>
      </c>
      <c r="E2121" s="3" t="str">
        <f>"Dingoes at dinnertime"</f>
        <v>Dingoes at dinnertime</v>
      </c>
      <c r="F2121" s="3" t="str">
        <f>"by Mary Pope Osborne ; illustrated by Sal Murdocca"</f>
        <v>by Mary Pope Osborne ; illustrated by Sal Murdocca</v>
      </c>
      <c r="G2121" s="3" t="str">
        <f>"Random House"</f>
        <v>Random House</v>
      </c>
      <c r="H2121" s="2" t="str">
        <f>"2000"</f>
        <v>2000</v>
      </c>
      <c r="I2121" s="3" t="str">
        <f>""</f>
        <v/>
      </c>
    </row>
    <row r="2122" spans="1:9" x14ac:dyDescent="0.3">
      <c r="A2122" s="2">
        <v>2121</v>
      </c>
      <c r="B2122" s="4" t="s">
        <v>33</v>
      </c>
      <c r="C2122" s="3" t="str">
        <f>"TFC000001381"</f>
        <v>TFC000001381</v>
      </c>
      <c r="D2122" s="3" t="str">
        <f>"F800-20-1539-(AR 3.2)"</f>
        <v>F800-20-1539-(AR 3.2)</v>
      </c>
      <c r="E2122" s="3" t="str">
        <f>"Twister on tuesday"</f>
        <v>Twister on tuesday</v>
      </c>
      <c r="F2122" s="3" t="str">
        <f>"by Mary Pope Osborne ; illustrations by Sal Murdocca"</f>
        <v>by Mary Pope Osborne ; illustrations by Sal Murdocca</v>
      </c>
      <c r="G2122" s="3" t="str">
        <f>"Random House"</f>
        <v>Random House</v>
      </c>
      <c r="H2122" s="2" t="str">
        <f>"2001"</f>
        <v>2001</v>
      </c>
      <c r="I2122" s="3" t="str">
        <f>""</f>
        <v/>
      </c>
    </row>
    <row r="2123" spans="1:9" x14ac:dyDescent="0.3">
      <c r="A2123" s="2">
        <v>2122</v>
      </c>
      <c r="B2123" s="4" t="s">
        <v>33</v>
      </c>
      <c r="C2123" s="3" t="str">
        <f>"TFC000001383"</f>
        <v>TFC000001383</v>
      </c>
      <c r="D2123" s="3" t="str">
        <f>"F800-20-1541-(AR 3.2)"</f>
        <v>F800-20-1541-(AR 3.2)</v>
      </c>
      <c r="E2123" s="3" t="str">
        <f>"Motor mouse"</f>
        <v>Motor mouse</v>
      </c>
      <c r="F2123" s="3" t="str">
        <f>"Cynthia Rylant ; illustrated by Arthur Howard"</f>
        <v>Cynthia Rylant ; illustrated by Arthur Howard</v>
      </c>
      <c r="G2123" s="3" t="str">
        <f>"Beach Lane Books"</f>
        <v>Beach Lane Books</v>
      </c>
      <c r="H2123" s="2" t="str">
        <f>"2019"</f>
        <v>2019</v>
      </c>
      <c r="I2123" s="3" t="str">
        <f>""</f>
        <v/>
      </c>
    </row>
    <row r="2124" spans="1:9" x14ac:dyDescent="0.3">
      <c r="A2124" s="2">
        <v>2123</v>
      </c>
      <c r="B2124" s="4" t="s">
        <v>33</v>
      </c>
      <c r="C2124" s="3" t="str">
        <f>"TFC000001384"</f>
        <v>TFC000001384</v>
      </c>
      <c r="D2124" s="3" t="str">
        <f>"F800-20-1542-(AR 3.2)"</f>
        <v>F800-20-1542-(AR 3.2)</v>
      </c>
      <c r="E2124" s="3" t="str">
        <f>"(A)flying birthday cake?"</f>
        <v>(A)flying birthday cake?</v>
      </c>
      <c r="F2124" s="3" t="str">
        <f>"by Louis Sachar ; illustrated by Amy Wummer"</f>
        <v>by Louis Sachar ; illustrated by Amy Wummer</v>
      </c>
      <c r="G2124" s="3" t="str">
        <f>"Random House"</f>
        <v>Random House</v>
      </c>
      <c r="H2124" s="2" t="str">
        <f>"2015"</f>
        <v>2015</v>
      </c>
      <c r="I2124" s="3" t="str">
        <f>""</f>
        <v/>
      </c>
    </row>
    <row r="2125" spans="1:9" x14ac:dyDescent="0.3">
      <c r="A2125" s="2">
        <v>2124</v>
      </c>
      <c r="B2125" s="4" t="s">
        <v>33</v>
      </c>
      <c r="C2125" s="3" t="str">
        <f>"TFC000001385"</f>
        <v>TFC000001385</v>
      </c>
      <c r="D2125" s="3" t="str">
        <f>"F800-20-1543-(AR 3.2)"</f>
        <v>F800-20-1543-(AR 3.2)</v>
      </c>
      <c r="E2125" s="3" t="str">
        <f>"(The)missing piece"</f>
        <v>(The)missing piece</v>
      </c>
      <c r="F2125" s="3" t="str">
        <f>"Shel Silverstein"</f>
        <v>Shel Silverstein</v>
      </c>
      <c r="G2125" s="3" t="str">
        <f>"HarperCollins Publishers"</f>
        <v>HarperCollins Publishers</v>
      </c>
      <c r="H2125" s="2" t="str">
        <f>"2004"</f>
        <v>2004</v>
      </c>
      <c r="I2125" s="3" t="str">
        <f>""</f>
        <v/>
      </c>
    </row>
    <row r="2126" spans="1:9" x14ac:dyDescent="0.3">
      <c r="A2126" s="2">
        <v>2125</v>
      </c>
      <c r="B2126" s="4" t="s">
        <v>33</v>
      </c>
      <c r="C2126" s="3" t="str">
        <f>"TFC000001386"</f>
        <v>TFC000001386</v>
      </c>
      <c r="D2126" s="3" t="str">
        <f>"F800-20-1544-(AR 3.2)"</f>
        <v>F800-20-1544-(AR 3.2)</v>
      </c>
      <c r="E2126" s="3" t="str">
        <f>"Dasher"</f>
        <v>Dasher</v>
      </c>
      <c r="F2126" s="3" t="str">
        <f>"Matt Tavares"</f>
        <v>Matt Tavares</v>
      </c>
      <c r="G2126" s="3" t="str">
        <f>"Candlewick Press"</f>
        <v>Candlewick Press</v>
      </c>
      <c r="H2126" s="2" t="str">
        <f>"2019"</f>
        <v>2019</v>
      </c>
      <c r="I2126" s="3" t="str">
        <f>""</f>
        <v/>
      </c>
    </row>
    <row r="2127" spans="1:9" x14ac:dyDescent="0.3">
      <c r="A2127" s="2">
        <v>2126</v>
      </c>
      <c r="B2127" s="4" t="s">
        <v>33</v>
      </c>
      <c r="C2127" s="3" t="str">
        <f>"TFC000001387"</f>
        <v>TFC000001387</v>
      </c>
      <c r="D2127" s="3" t="str">
        <f>"F800-20-1545-(AR 3.2)"</f>
        <v>F800-20-1545-(AR 3.2)</v>
      </c>
      <c r="E2127" s="3" t="str">
        <f>"(The)class trip from the black lagoon"</f>
        <v>(The)class trip from the black lagoon</v>
      </c>
      <c r="F2127" s="3" t="str">
        <f>"by Mike Thaler ; illustrated by Jared Lee"</f>
        <v>by Mike Thaler ; illustrated by Jared Lee</v>
      </c>
      <c r="G2127" s="3" t="str">
        <f>"Scholastic"</f>
        <v>Scholastic</v>
      </c>
      <c r="H2127" s="2" t="str">
        <f>"2002"</f>
        <v>2002</v>
      </c>
      <c r="I2127" s="3" t="str">
        <f>""</f>
        <v/>
      </c>
    </row>
    <row r="2128" spans="1:9" x14ac:dyDescent="0.3">
      <c r="A2128" s="2">
        <v>2127</v>
      </c>
      <c r="B2128" s="4" t="s">
        <v>33</v>
      </c>
      <c r="C2128" s="3" t="str">
        <f>"TFC000001388"</f>
        <v>TFC000001388</v>
      </c>
      <c r="D2128" s="3" t="str">
        <f>"F800-20-1546-(AR 3.2)"</f>
        <v>F800-20-1546-(AR 3.2)</v>
      </c>
      <c r="E2128" s="3" t="str">
        <f>"Oscar and the bird : a book about electricity"</f>
        <v>Oscar and the bird : a book about electricity</v>
      </c>
      <c r="F2128" s="3" t="str">
        <f>"Geoff Waring"</f>
        <v>Geoff Waring</v>
      </c>
      <c r="G2128" s="3" t="str">
        <f>"Candlewick Press"</f>
        <v>Candlewick Press</v>
      </c>
      <c r="H2128" s="2" t="str">
        <f>"2011"</f>
        <v>2011</v>
      </c>
      <c r="I2128" s="3" t="str">
        <f>""</f>
        <v/>
      </c>
    </row>
    <row r="2129" spans="1:9" x14ac:dyDescent="0.3">
      <c r="A2129" s="2">
        <v>2128</v>
      </c>
      <c r="B2129" s="4" t="s">
        <v>33</v>
      </c>
      <c r="C2129" s="3" t="str">
        <f>"TFC000001389"</f>
        <v>TFC000001389</v>
      </c>
      <c r="D2129" s="3" t="str">
        <f>"F800-20-1547-(AR 3.2)"</f>
        <v>F800-20-1547-(AR 3.2)</v>
      </c>
      <c r="E2129" s="3" t="str">
        <f>"(A)funny thing happened on the way to school..."</f>
        <v>(A)funny thing happened on the way to school...</v>
      </c>
      <c r="F2129" s="3" t="str">
        <f>"text by Davide Cali ; illustrated by Benjamin Chaud"</f>
        <v>text by Davide Cali ; illustrated by Benjamin Chaud</v>
      </c>
      <c r="G2129" s="3" t="str">
        <f>"Chronicle Books"</f>
        <v>Chronicle Books</v>
      </c>
      <c r="H2129" s="2" t="str">
        <f>"2015"</f>
        <v>2015</v>
      </c>
      <c r="I2129" s="3" t="str">
        <f>""</f>
        <v/>
      </c>
    </row>
    <row r="2130" spans="1:9" x14ac:dyDescent="0.3">
      <c r="A2130" s="2">
        <v>2129</v>
      </c>
      <c r="B2130" s="4" t="s">
        <v>33</v>
      </c>
      <c r="C2130" s="3" t="str">
        <f>"TFC000001390"</f>
        <v>TFC000001390</v>
      </c>
      <c r="D2130" s="3" t="str">
        <f>"F800-20-1548-(AR 3.2)"</f>
        <v>F800-20-1548-(AR 3.2)</v>
      </c>
      <c r="E2130" s="3" t="str">
        <f>"Shadow"</f>
        <v>Shadow</v>
      </c>
      <c r="F2130" s="3" t="str">
        <f>"from the French of Blaise Cendrars ; translated and illustrated by Marcia Brown"</f>
        <v>from the French of Blaise Cendrars ; translated and illustrated by Marcia Brown</v>
      </c>
      <c r="G2130" s="3" t="str">
        <f>"Aladdin Paperbacks"</f>
        <v>Aladdin Paperbacks</v>
      </c>
      <c r="H2130" s="2" t="str">
        <f>"1982"</f>
        <v>1982</v>
      </c>
      <c r="I2130" s="3" t="str">
        <f>""</f>
        <v/>
      </c>
    </row>
    <row r="2131" spans="1:9" x14ac:dyDescent="0.3">
      <c r="A2131" s="2">
        <v>2130</v>
      </c>
      <c r="B2131" s="4" t="s">
        <v>33</v>
      </c>
      <c r="C2131" s="3" t="str">
        <f>"TFC000001391"</f>
        <v>TFC000001391</v>
      </c>
      <c r="D2131" s="3" t="str">
        <f>"F800-20-1549-(AR 3.2)"</f>
        <v>F800-20-1549-(AR 3.2)</v>
      </c>
      <c r="E2131" s="3" t="str">
        <f>"All because of a cup of coffe"</f>
        <v>All because of a cup of coffe</v>
      </c>
      <c r="F2131" s="3" t="str">
        <f>"by Geronimo Stilton ; illustrated by Larry Keys"</f>
        <v>by Geronimo Stilton ; illustrated by Larry Keys</v>
      </c>
      <c r="G2131" s="3" t="str">
        <f>"Scholastic"</f>
        <v>Scholastic</v>
      </c>
      <c r="H2131" s="2" t="str">
        <f>"2005"</f>
        <v>2005</v>
      </c>
      <c r="I2131" s="3" t="str">
        <f>""</f>
        <v/>
      </c>
    </row>
    <row r="2132" spans="1:9" x14ac:dyDescent="0.3">
      <c r="A2132" s="2">
        <v>2131</v>
      </c>
      <c r="B2132" s="4" t="s">
        <v>33</v>
      </c>
      <c r="C2132" s="3" t="str">
        <f>"TFC000001392"</f>
        <v>TFC000001392</v>
      </c>
      <c r="D2132" s="3" t="str">
        <f>"F800-20-1550-(AR 3.2)"</f>
        <v>F800-20-1550-(AR 3.2)</v>
      </c>
      <c r="E2132" s="3" t="str">
        <f>"Merry Christmas, Geronimo!"</f>
        <v>Merry Christmas, Geronimo!</v>
      </c>
      <c r="F2132" s="3" t="str">
        <f>"text by Geronimo Stilton ; illustrations by Larry Keys, Blasco Tabasco"</f>
        <v>text by Geronimo Stilton ; illustrations by Larry Keys, Blasco Tabasco</v>
      </c>
      <c r="G2132" s="3" t="str">
        <f>"Scholastic"</f>
        <v>Scholastic</v>
      </c>
      <c r="H2132" s="2" t="str">
        <f>"2004"</f>
        <v>2004</v>
      </c>
      <c r="I2132" s="3" t="str">
        <f>""</f>
        <v/>
      </c>
    </row>
    <row r="2133" spans="1:9" x14ac:dyDescent="0.3">
      <c r="A2133" s="2">
        <v>2132</v>
      </c>
      <c r="B2133" s="4" t="s">
        <v>33</v>
      </c>
      <c r="C2133" s="3" t="str">
        <f>"TFC000001393"</f>
        <v>TFC000001393</v>
      </c>
      <c r="D2133" s="3" t="str">
        <f>"F800-20-1551-(AR 3.2)"</f>
        <v>F800-20-1551-(AR 3.2)</v>
      </c>
      <c r="E2133" s="3" t="str">
        <f>"Watch your whiskers, Stilton!"</f>
        <v>Watch your whiskers, Stilton!</v>
      </c>
      <c r="F2133" s="3" t="str">
        <f>"by Geronimo Stilton ; illustrations by Larry Keys, Topika Topraska"</f>
        <v>by Geronimo Stilton ; illustrations by Larry Keys, Topika Topraska</v>
      </c>
      <c r="G2133" s="3" t="str">
        <f>"Scholastic"</f>
        <v>Scholastic</v>
      </c>
      <c r="H2133" s="2" t="str">
        <f>"2005"</f>
        <v>2005</v>
      </c>
      <c r="I2133" s="3" t="str">
        <f>""</f>
        <v/>
      </c>
    </row>
    <row r="2134" spans="1:9" x14ac:dyDescent="0.3">
      <c r="A2134" s="2">
        <v>2133</v>
      </c>
      <c r="B2134" s="4" t="s">
        <v>33</v>
      </c>
      <c r="C2134" s="3" t="str">
        <f>"TFC000001394"</f>
        <v>TFC000001394</v>
      </c>
      <c r="D2134" s="3" t="str">
        <f>"F800-20-1552-(AR 3.2)"</f>
        <v>F800-20-1552-(AR 3.2)</v>
      </c>
      <c r="E2134" s="3" t="str">
        <f>"My name is Stilton, Geronimo Stilton"</f>
        <v>My name is Stilton, Geronimo Stilton</v>
      </c>
      <c r="F2134" s="3" t="str">
        <f>"by Geronimo Stilton ; illustrated by Larry Keys"</f>
        <v>by Geronimo Stilton ; illustrated by Larry Keys</v>
      </c>
      <c r="G2134" s="3" t="str">
        <f>"Scholastic"</f>
        <v>Scholastic</v>
      </c>
      <c r="H2134" s="2" t="str">
        <f>"2005"</f>
        <v>2005</v>
      </c>
      <c r="I2134" s="3" t="str">
        <f>""</f>
        <v/>
      </c>
    </row>
    <row r="2135" spans="1:9" x14ac:dyDescent="0.3">
      <c r="A2135" s="2">
        <v>2134</v>
      </c>
      <c r="B2135" s="4" t="s">
        <v>33</v>
      </c>
      <c r="C2135" s="3" t="str">
        <f>"TFC000001395"</f>
        <v>TFC000001395</v>
      </c>
      <c r="D2135" s="3" t="str">
        <f>"F900-20-1562-(AR 3.2)"</f>
        <v>F900-20-1562-(AR 3.2)</v>
      </c>
      <c r="E2135" s="3" t="str">
        <f>"I am Albert Einstein"</f>
        <v>I am Albert Einstein</v>
      </c>
      <c r="F2135" s="3" t="str">
        <f>"Brad Meltzer ; illustrated by Christopher Eliopoulos"</f>
        <v>Brad Meltzer ; illustrated by Christopher Eliopoulos</v>
      </c>
      <c r="G2135" s="3" t="str">
        <f>"Dial Books for Young Readers"</f>
        <v>Dial Books for Young Readers</v>
      </c>
      <c r="H2135" s="2" t="str">
        <f>"2014"</f>
        <v>2014</v>
      </c>
      <c r="I2135" s="3" t="str">
        <f>""</f>
        <v/>
      </c>
    </row>
    <row r="2136" spans="1:9" x14ac:dyDescent="0.3">
      <c r="A2136" s="2">
        <v>2135</v>
      </c>
      <c r="B2136" s="4" t="s">
        <v>33</v>
      </c>
      <c r="C2136" s="3" t="str">
        <f>"TFC000001396"</f>
        <v>TFC000001396</v>
      </c>
      <c r="D2136" s="3" t="str">
        <f>"F900-20-1563-(AR 3.2)"</f>
        <v>F900-20-1563-(AR 3.2)</v>
      </c>
      <c r="E2136" s="3" t="str">
        <f>"George Washington : our first president"</f>
        <v>George Washington : our first president</v>
      </c>
      <c r="F2136" s="3" t="str">
        <f>"by Garnet Jackson ; illustated by Cornelius Van Wright, Ying-Hwa Hu"</f>
        <v>by Garnet Jackson ; illustated by Cornelius Van Wright, Ying-Hwa Hu</v>
      </c>
      <c r="G2136" s="3" t="str">
        <f>"Scholastic"</f>
        <v>Scholastic</v>
      </c>
      <c r="H2136" s="2" t="str">
        <f>"2008"</f>
        <v>2008</v>
      </c>
      <c r="I2136" s="3" t="str">
        <f>""</f>
        <v/>
      </c>
    </row>
    <row r="2137" spans="1:9" x14ac:dyDescent="0.3">
      <c r="A2137" s="2">
        <v>2136</v>
      </c>
      <c r="B2137" s="4" t="s">
        <v>33</v>
      </c>
      <c r="C2137" s="3" t="str">
        <f>"TFC000002873"</f>
        <v>TFC000002873</v>
      </c>
      <c r="D2137" s="3" t="str">
        <f>"F800-20-1553-(AR 3.2)"</f>
        <v>F800-20-1553-(AR 3.2)</v>
      </c>
      <c r="E2137" s="3" t="str">
        <f>"Tops &amp; Bottoms"</f>
        <v>Tops &amp; Bottoms</v>
      </c>
      <c r="F2137" s="3" t="str">
        <f>"adapted and illustrated by Janet Stevens"</f>
        <v>adapted and illustrated by Janet Stevens</v>
      </c>
      <c r="G2137" s="3" t="str">
        <f>"Houghton Mifflin Harcourt"</f>
        <v>Houghton Mifflin Harcourt</v>
      </c>
      <c r="H2137" s="2" t="str">
        <f>"1995"</f>
        <v>1995</v>
      </c>
      <c r="I2137" s="3" t="str">
        <f>""</f>
        <v/>
      </c>
    </row>
    <row r="2138" spans="1:9" x14ac:dyDescent="0.3">
      <c r="A2138" s="2">
        <v>2137</v>
      </c>
      <c r="B2138" s="4" t="s">
        <v>33</v>
      </c>
      <c r="C2138" s="3" t="str">
        <f>"TFC000002874"</f>
        <v>TFC000002874</v>
      </c>
      <c r="D2138" s="3" t="str">
        <f>"F200-20-1484-(AR 3.2)"</f>
        <v>F200-20-1484-(AR 3.2)</v>
      </c>
      <c r="E2138" s="3" t="str">
        <f>"Young Zeus"</f>
        <v>Young Zeus</v>
      </c>
      <c r="F2138" s="3" t="str">
        <f>"by G. Brian Karas"</f>
        <v>by G. Brian Karas</v>
      </c>
      <c r="G2138" s="3" t="str">
        <f>"Scholastic"</f>
        <v>Scholastic</v>
      </c>
      <c r="H2138" s="2" t="str">
        <f>"2010"</f>
        <v>2010</v>
      </c>
      <c r="I2138" s="3" t="str">
        <f>""</f>
        <v/>
      </c>
    </row>
    <row r="2139" spans="1:9" x14ac:dyDescent="0.3">
      <c r="A2139" s="2">
        <v>2138</v>
      </c>
      <c r="B2139" s="4" t="s">
        <v>33</v>
      </c>
      <c r="C2139" s="3" t="str">
        <f>"TFC000002956"</f>
        <v>TFC000002956</v>
      </c>
      <c r="D2139" s="3" t="str">
        <f>"F800-20-1554-(AR 3.2)"</f>
        <v>F800-20-1554-(AR 3.2)</v>
      </c>
      <c r="E2139" s="3" t="str">
        <f>"Alfie the apostrophe"</f>
        <v>Alfie the apostrophe</v>
      </c>
      <c r="F2139" s="3" t="str">
        <f>"Moira Rose Donohue ; illustrated by JoAnn Adinolfi"</f>
        <v>Moira Rose Donohue ; illustrated by JoAnn Adinolfi</v>
      </c>
      <c r="G2139" s="3" t="str">
        <f>"Scholastic"</f>
        <v>Scholastic</v>
      </c>
      <c r="H2139" s="2" t="str">
        <f>"2007"</f>
        <v>2007</v>
      </c>
      <c r="I2139" s="3" t="str">
        <f>""</f>
        <v/>
      </c>
    </row>
    <row r="2140" spans="1:9" x14ac:dyDescent="0.3">
      <c r="A2140" s="2">
        <v>2139</v>
      </c>
      <c r="B2140" s="4" t="s">
        <v>33</v>
      </c>
      <c r="C2140" s="3" t="str">
        <f>"TFC000002957"</f>
        <v>TFC000002957</v>
      </c>
      <c r="D2140" s="3" t="str">
        <f>"F800-20-1555-(AR 3.2)"</f>
        <v>F800-20-1555-(AR 3.2)</v>
      </c>
      <c r="E2140" s="3" t="str">
        <f>"In 1492"</f>
        <v>In 1492</v>
      </c>
      <c r="F2140" s="3" t="str">
        <f>"by Jean Marzollo ; illustrated by Steve Bjo?rkman"</f>
        <v>by Jean Marzollo ; illustrated by Steve Bjo?rkman</v>
      </c>
      <c r="G2140" s="3" t="str">
        <f>"Scholastic"</f>
        <v>Scholastic</v>
      </c>
      <c r="H2140" s="2" t="str">
        <f>"1991"</f>
        <v>1991</v>
      </c>
      <c r="I2140" s="3" t="str">
        <f>""</f>
        <v/>
      </c>
    </row>
    <row r="2141" spans="1:9" x14ac:dyDescent="0.3">
      <c r="A2141" s="2">
        <v>2140</v>
      </c>
      <c r="B2141" s="4" t="s">
        <v>33</v>
      </c>
      <c r="C2141" s="3" t="str">
        <f>"TFC000002958"</f>
        <v>TFC000002958</v>
      </c>
      <c r="D2141" s="3" t="str">
        <f>"F400-20-1487-(AR 3.2)"</f>
        <v>F400-20-1487-(AR 3.2)</v>
      </c>
      <c r="E2141" s="3" t="str">
        <f>"Inside an ant colony"</f>
        <v>Inside an ant colony</v>
      </c>
      <c r="F2141" s="3" t="str">
        <f>"by Allan Fowler"</f>
        <v>by Allan Fowler</v>
      </c>
      <c r="G2141" s="3" t="str">
        <f>"Scholastic"</f>
        <v>Scholastic</v>
      </c>
      <c r="H2141" s="2" t="str">
        <f>"2005"</f>
        <v>2005</v>
      </c>
      <c r="I2141" s="3" t="str">
        <f>""</f>
        <v/>
      </c>
    </row>
    <row r="2142" spans="1:9" x14ac:dyDescent="0.3">
      <c r="A2142" s="2">
        <v>2141</v>
      </c>
      <c r="B2142" s="4" t="s">
        <v>33</v>
      </c>
      <c r="C2142" s="3" t="str">
        <f>"TFC000003016"</f>
        <v>TFC000003016</v>
      </c>
      <c r="D2142" s="3" t="str">
        <f>"F800-20-1556-(AR 3.2)"</f>
        <v>F800-20-1556-(AR 3.2)</v>
      </c>
      <c r="E2142" s="3" t="str">
        <f>"Little tigers"</f>
        <v>Little tigers</v>
      </c>
      <c r="F2142" s="3" t="str">
        <f>"Jo Weaver"</f>
        <v>Jo Weaver</v>
      </c>
      <c r="G2142" s="3" t="str">
        <f>"Peachtree Publishing"</f>
        <v>Peachtree Publishing</v>
      </c>
      <c r="H2142" s="2" t="str">
        <f>"2019"</f>
        <v>2019</v>
      </c>
      <c r="I2142" s="3" t="str">
        <f>""</f>
        <v/>
      </c>
    </row>
    <row r="2143" spans="1:9" x14ac:dyDescent="0.3">
      <c r="A2143" s="2">
        <v>2142</v>
      </c>
      <c r="B2143" s="4" t="s">
        <v>33</v>
      </c>
      <c r="C2143" s="3" t="str">
        <f>"TFC000003018"</f>
        <v>TFC000003018</v>
      </c>
      <c r="D2143" s="3" t="str">
        <f>"F800-20-1557-(AR 3.2)"</f>
        <v>F800-20-1557-(AR 3.2)</v>
      </c>
      <c r="E2143" s="3" t="str">
        <f>"(The)chalk giraffe"</f>
        <v>(The)chalk giraffe</v>
      </c>
      <c r="F2143" s="3" t="str">
        <f>"Kirsty Paxton ; illustrated by Megan Lotter"</f>
        <v>Kirsty Paxton ; illustrated by Megan Lotter</v>
      </c>
      <c r="G2143" s="3" t="str">
        <f>"Capstone Editions"</f>
        <v>Capstone Editions</v>
      </c>
      <c r="H2143" s="2" t="str">
        <f>"2020"</f>
        <v>2020</v>
      </c>
      <c r="I2143" s="3" t="str">
        <f>""</f>
        <v/>
      </c>
    </row>
    <row r="2144" spans="1:9" x14ac:dyDescent="0.3">
      <c r="A2144" s="2">
        <v>2143</v>
      </c>
      <c r="B2144" s="4" t="s">
        <v>33</v>
      </c>
      <c r="C2144" s="3" t="str">
        <f>"TFC000003032"</f>
        <v>TFC000003032</v>
      </c>
      <c r="D2144" s="3" t="str">
        <f>"F800-20-1558-(AR 3.2)"</f>
        <v>F800-20-1558-(AR 3.2)</v>
      </c>
      <c r="E2144" s="3" t="str">
        <f>"Nancy clancy, secret admirer"</f>
        <v>Nancy clancy, secret admirer</v>
      </c>
      <c r="F2144" s="3" t="str">
        <f>"Written by Jane O'Connor ; illustrations by Robin Preiss Glasser"</f>
        <v>Written by Jane O'Connor ; illustrations by Robin Preiss Glasser</v>
      </c>
      <c r="G2144" s="3" t="str">
        <f>"HarperCollins"</f>
        <v>HarperCollins</v>
      </c>
      <c r="H2144" s="2" t="str">
        <f>"2013"</f>
        <v>2013</v>
      </c>
      <c r="I2144" s="3" t="str">
        <f>""</f>
        <v/>
      </c>
    </row>
    <row r="2145" spans="1:9" x14ac:dyDescent="0.3">
      <c r="A2145" s="2">
        <v>2144</v>
      </c>
      <c r="B2145" s="4" t="s">
        <v>33</v>
      </c>
      <c r="C2145" s="3" t="str">
        <f>"TFC000003038"</f>
        <v>TFC000003038</v>
      </c>
      <c r="D2145" s="3" t="str">
        <f>"F800-20-1559-(AR 3.2)"</f>
        <v>F800-20-1559-(AR 3.2)</v>
      </c>
      <c r="E2145" s="3" t="str">
        <f>"(The)librarian of basra : a true story from Iraq"</f>
        <v>(The)librarian of basra : a true story from Iraq</v>
      </c>
      <c r="F2145" s="3" t="str">
        <f>"written &amp; illustrated by Jeanette Winter"</f>
        <v>written &amp; illustrated by Jeanette Winter</v>
      </c>
      <c r="G2145" s="3" t="str">
        <f>"Houghton Mifflin Harcourt"</f>
        <v>Houghton Mifflin Harcourt</v>
      </c>
      <c r="H2145" s="2" t="str">
        <f>"2005"</f>
        <v>2005</v>
      </c>
      <c r="I2145" s="3" t="str">
        <f>""</f>
        <v/>
      </c>
    </row>
    <row r="2146" spans="1:9" x14ac:dyDescent="0.3">
      <c r="A2146" s="2">
        <v>2145</v>
      </c>
      <c r="B2146" s="4" t="s">
        <v>33</v>
      </c>
      <c r="C2146" s="3" t="str">
        <f>"TFC000003083"</f>
        <v>TFC000003083</v>
      </c>
      <c r="D2146" s="3" t="str">
        <f>"F800-20-1561-(AR 3.2)"</f>
        <v>F800-20-1561-(AR 3.2)</v>
      </c>
      <c r="E2146" s="3" t="str">
        <f>"Kristy's big day"</f>
        <v>Kristy's big day</v>
      </c>
      <c r="F2146" s="3" t="str">
        <f>"based on the novel by Ann M. Martin ; a graphic novel by Gale Galligan ; with color by Braden Lamb"</f>
        <v>based on the novel by Ann M. Martin ; a graphic novel by Gale Galligan ; with color by Braden Lamb</v>
      </c>
      <c r="G2146" s="3" t="str">
        <f>"Graphix"</f>
        <v>Graphix</v>
      </c>
      <c r="H2146" s="2" t="str">
        <f>"2018"</f>
        <v>2018</v>
      </c>
      <c r="I2146" s="3" t="str">
        <f>""</f>
        <v/>
      </c>
    </row>
    <row r="2147" spans="1:9" x14ac:dyDescent="0.3">
      <c r="A2147" s="2">
        <v>2146</v>
      </c>
      <c r="B2147" s="4" t="s">
        <v>33</v>
      </c>
      <c r="C2147" s="3" t="str">
        <f>"TFC000003277"</f>
        <v>TFC000003277</v>
      </c>
      <c r="D2147" s="3" t="str">
        <f>"F800-21-0542-(AR 3.2)"</f>
        <v>F800-21-0542-(AR 3.2)</v>
      </c>
      <c r="E2147" s="3" t="str">
        <f>"Skylark"</f>
        <v>Skylark</v>
      </c>
      <c r="F2147" s="3" t="str">
        <f>"written by Patricia Maclachlan"</f>
        <v>written by Patricia Maclachlan</v>
      </c>
      <c r="G2147" s="3" t="str">
        <f>"Harper Trophy"</f>
        <v>Harper Trophy</v>
      </c>
      <c r="H2147" s="2" t="str">
        <f>"2011"</f>
        <v>2011</v>
      </c>
      <c r="I2147" s="3" t="str">
        <f>""</f>
        <v/>
      </c>
    </row>
    <row r="2148" spans="1:9" x14ac:dyDescent="0.3">
      <c r="A2148" s="2">
        <v>2147</v>
      </c>
      <c r="B2148" s="4" t="s">
        <v>33</v>
      </c>
      <c r="C2148" s="3" t="str">
        <f>"TFC000003356"</f>
        <v>TFC000003356</v>
      </c>
      <c r="D2148" s="3" t="str">
        <f>"F500-21-0540-(AR 3.2)"</f>
        <v>F500-21-0540-(AR 3.2)</v>
      </c>
      <c r="E2148" s="3" t="str">
        <f>"Clothing around the world"</f>
        <v>Clothing around the world</v>
      </c>
      <c r="F2148" s="3" t="str">
        <f>"by Mary Meinking"</f>
        <v>by Mary Meinking</v>
      </c>
      <c r="G2148" s="3" t="str">
        <f>"Pebble, a Capstone imprint"</f>
        <v>Pebble, a Capstone imprint</v>
      </c>
      <c r="H2148" s="2" t="str">
        <f>"2021"</f>
        <v>2021</v>
      </c>
      <c r="I2148" s="3" t="str">
        <f>""</f>
        <v/>
      </c>
    </row>
    <row r="2149" spans="1:9" x14ac:dyDescent="0.3">
      <c r="A2149" s="2">
        <v>2148</v>
      </c>
      <c r="B2149" s="4" t="s">
        <v>33</v>
      </c>
      <c r="C2149" s="3" t="str">
        <f>"TFC000003357"</f>
        <v>TFC000003357</v>
      </c>
      <c r="D2149" s="3" t="str">
        <f>"F300-21-0537-(AR 3.2)"</f>
        <v>F300-21-0537-(AR 3.2)</v>
      </c>
      <c r="E2149" s="3" t="str">
        <f>"Dentists"</f>
        <v>Dentists</v>
      </c>
      <c r="F2149" s="3" t="str">
        <f>"by Mary Meinking"</f>
        <v>by Mary Meinking</v>
      </c>
      <c r="G2149" s="3" t="str">
        <f>"Pebble"</f>
        <v>Pebble</v>
      </c>
      <c r="H2149" s="2" t="str">
        <f>"2021"</f>
        <v>2021</v>
      </c>
      <c r="I2149" s="3" t="str">
        <f>""</f>
        <v/>
      </c>
    </row>
    <row r="2150" spans="1:9" x14ac:dyDescent="0.3">
      <c r="A2150" s="2">
        <v>2149</v>
      </c>
      <c r="B2150" s="4" t="s">
        <v>33</v>
      </c>
      <c r="C2150" s="3" t="str">
        <f>"TFC000003358"</f>
        <v>TFC000003358</v>
      </c>
      <c r="D2150" s="3" t="str">
        <f>"F500-21-0541-(AR 3.2)"</f>
        <v>F500-21-0541-(AR 3.2)</v>
      </c>
      <c r="E2150" s="3" t="str">
        <f>"Food around the world"</f>
        <v>Food around the world</v>
      </c>
      <c r="F2150" s="3" t="str">
        <f>"by Wil Mara"</f>
        <v>by Wil Mara</v>
      </c>
      <c r="G2150" s="3" t="str">
        <f>"Pebble, a Capstone imprint"</f>
        <v>Pebble, a Capstone imprint</v>
      </c>
      <c r="H2150" s="2" t="str">
        <f>"2021"</f>
        <v>2021</v>
      </c>
      <c r="I2150" s="3" t="str">
        <f>""</f>
        <v/>
      </c>
    </row>
    <row r="2151" spans="1:9" x14ac:dyDescent="0.3">
      <c r="A2151" s="2">
        <v>2150</v>
      </c>
      <c r="B2151" s="4" t="s">
        <v>33</v>
      </c>
      <c r="C2151" s="3" t="str">
        <f>"TFC000003359"</f>
        <v>TFC000003359</v>
      </c>
      <c r="D2151" s="3" t="str">
        <f>"F800-21-0543-(AR 3.2)"</f>
        <v>F800-21-0543-(AR 3.2)</v>
      </c>
      <c r="E2151" s="3" t="str">
        <f>"Going on a field trip"</f>
        <v>Going on a field trip</v>
      </c>
      <c r="F2151" s="3" t="str">
        <f>"by C.L. Reid ; illustrated by Elena Aiello"</f>
        <v>by C.L. Reid ; illustrated by Elena Aiello</v>
      </c>
      <c r="G2151" s="3" t="str">
        <f>"Picture Window Books"</f>
        <v>Picture Window Books</v>
      </c>
      <c r="H2151" s="2" t="str">
        <f>"2021"</f>
        <v>2021</v>
      </c>
      <c r="I2151" s="3" t="str">
        <f>""</f>
        <v/>
      </c>
    </row>
    <row r="2152" spans="1:9" x14ac:dyDescent="0.3">
      <c r="A2152" s="2">
        <v>2151</v>
      </c>
      <c r="B2152" s="4" t="s">
        <v>33</v>
      </c>
      <c r="C2152" s="3" t="str">
        <f>"TFC000003360"</f>
        <v>TFC000003360</v>
      </c>
      <c r="D2152" s="3" t="str">
        <f>"F300-21-0538-(AR 3.2)"</f>
        <v>F300-21-0538-(AR 3.2)</v>
      </c>
      <c r="E2152" s="3" t="str">
        <f>"Shopping around the world"</f>
        <v>Shopping around the world</v>
      </c>
      <c r="F2152" s="3" t="str">
        <f>"by Wil Mara"</f>
        <v>by Wil Mara</v>
      </c>
      <c r="G2152" s="3" t="str">
        <f>"Pebble, a Capstone imprint"</f>
        <v>Pebble, a Capstone imprint</v>
      </c>
      <c r="H2152" s="2" t="str">
        <f>"2021"</f>
        <v>2021</v>
      </c>
      <c r="I2152" s="3" t="str">
        <f>""</f>
        <v/>
      </c>
    </row>
    <row r="2153" spans="1:9" x14ac:dyDescent="0.3">
      <c r="A2153" s="2">
        <v>2152</v>
      </c>
      <c r="B2153" s="4" t="s">
        <v>33</v>
      </c>
      <c r="C2153" s="3" t="str">
        <f>"TFC000003467"</f>
        <v>TFC000003467</v>
      </c>
      <c r="D2153" s="3" t="str">
        <f>"F800-21-0545-(AR 3.2)"</f>
        <v>F800-21-0545-(AR 3.2)</v>
      </c>
      <c r="E2153" s="3" t="str">
        <f>"Purple, green and yellow"</f>
        <v>Purple, green and yellow</v>
      </c>
      <c r="F2153" s="3" t="str">
        <f>"story by Robert Munsch ; art by Helene Desputeaux"</f>
        <v>story by Robert Munsch ; art by Helene Desputeaux</v>
      </c>
      <c r="G2153" s="3" t="str">
        <f>"Annick Press"</f>
        <v>Annick Press</v>
      </c>
      <c r="H2153" s="2" t="str">
        <f>"2018"</f>
        <v>2018</v>
      </c>
      <c r="I2153" s="3" t="str">
        <f>""</f>
        <v/>
      </c>
    </row>
    <row r="2154" spans="1:9" x14ac:dyDescent="0.3">
      <c r="A2154" s="2">
        <v>2153</v>
      </c>
      <c r="B2154" s="4" t="s">
        <v>33</v>
      </c>
      <c r="C2154" s="3" t="str">
        <f>"TFC000003573"</f>
        <v>TFC000003573</v>
      </c>
      <c r="D2154" s="3" t="str">
        <f>"F800-21-0546-(AR 3.2)"</f>
        <v>F800-21-0546-(AR 3.2)</v>
      </c>
      <c r="E2154" s="3" t="str">
        <f>"Eva in the spotlight"</f>
        <v>Eva in the spotlight</v>
      </c>
      <c r="F2154" s="3" t="str">
        <f>"by Rebecca Elliott"</f>
        <v>by Rebecca Elliott</v>
      </c>
      <c r="G2154" s="3" t="str">
        <f>"scholastic:Branches"</f>
        <v>scholastic:Branches</v>
      </c>
      <c r="H2154" s="2" t="str">
        <f>"2020"</f>
        <v>2020</v>
      </c>
      <c r="I2154" s="3" t="str">
        <f>""</f>
        <v/>
      </c>
    </row>
    <row r="2155" spans="1:9" x14ac:dyDescent="0.3">
      <c r="A2155" s="2">
        <v>2154</v>
      </c>
      <c r="B2155" s="4" t="s">
        <v>33</v>
      </c>
      <c r="C2155" s="3" t="str">
        <f>"TFC000003591"</f>
        <v>TFC000003591</v>
      </c>
      <c r="D2155" s="3" t="str">
        <f>"F800-21-0577-(AR 3.2)=2"</f>
        <v>F800-21-0577-(AR 3.2)=2</v>
      </c>
      <c r="E2155" s="3" t="str">
        <f>"Eva in the spotlight"</f>
        <v>Eva in the spotlight</v>
      </c>
      <c r="F2155" s="3" t="str">
        <f>"by Rebecca Elliott"</f>
        <v>by Rebecca Elliott</v>
      </c>
      <c r="G2155" s="3" t="str">
        <f>"scholastic:Branches"</f>
        <v>scholastic:Branches</v>
      </c>
      <c r="H2155" s="2" t="str">
        <f>"2020"</f>
        <v>2020</v>
      </c>
      <c r="I2155" s="3" t="str">
        <f>""</f>
        <v/>
      </c>
    </row>
    <row r="2156" spans="1:9" x14ac:dyDescent="0.3">
      <c r="A2156" s="2">
        <v>2155</v>
      </c>
      <c r="B2156" s="4" t="s">
        <v>33</v>
      </c>
      <c r="C2156" s="3" t="str">
        <f>"TFC000003675"</f>
        <v>TFC000003675</v>
      </c>
      <c r="D2156" s="3" t="str">
        <f>"F800-21-0547-(AR 3.2)"</f>
        <v>F800-21-0547-(AR 3.2)</v>
      </c>
      <c r="E2156" s="3" t="str">
        <f>"(The)real true friend"</f>
        <v>(The)real true friend</v>
      </c>
      <c r="F2156" s="3" t="str">
        <f>"by Abby Hanlon"</f>
        <v>by Abby Hanlon</v>
      </c>
      <c r="G2156" s="3" t="str">
        <f>"Puffin books"</f>
        <v>Puffin books</v>
      </c>
      <c r="H2156" s="2" t="str">
        <f>"2015"</f>
        <v>2015</v>
      </c>
      <c r="I2156" s="3" t="str">
        <f>""</f>
        <v/>
      </c>
    </row>
    <row r="2157" spans="1:9" x14ac:dyDescent="0.3">
      <c r="A2157" s="2">
        <v>2156</v>
      </c>
      <c r="B2157" s="4" t="s">
        <v>33</v>
      </c>
      <c r="C2157" s="3" t="str">
        <f>"TFC000003676"</f>
        <v>TFC000003676</v>
      </c>
      <c r="D2157" s="3" t="str">
        <f>"F800-21-0548-(AR 3.2)"</f>
        <v>F800-21-0548-(AR 3.2)</v>
      </c>
      <c r="E2157" s="3" t="str">
        <f>"Dory Fantasmagory"</f>
        <v>Dory Fantasmagory</v>
      </c>
      <c r="F2157" s="3" t="str">
        <f>"by Abby Hanlon"</f>
        <v>by Abby Hanlon</v>
      </c>
      <c r="G2157" s="3" t="str">
        <f>"Puffin books"</f>
        <v>Puffin books</v>
      </c>
      <c r="H2157" s="2" t="str">
        <f>"2015"</f>
        <v>2015</v>
      </c>
      <c r="I2157" s="3" t="str">
        <f>""</f>
        <v/>
      </c>
    </row>
    <row r="2158" spans="1:9" x14ac:dyDescent="0.3">
      <c r="A2158" s="2">
        <v>2157</v>
      </c>
      <c r="B2158" s="4" t="s">
        <v>33</v>
      </c>
      <c r="C2158" s="3" t="str">
        <f>"TFC000003718"</f>
        <v>TFC000003718</v>
      </c>
      <c r="D2158" s="3" t="str">
        <f>"F800-21-0549-(AR 3.2)"</f>
        <v>F800-21-0549-(AR 3.2)</v>
      </c>
      <c r="E2158" s="3" t="str">
        <f>"Henry Heckelbeck spells trouble"</f>
        <v>Henry Heckelbeck spells trouble</v>
      </c>
      <c r="F2158" s="3" t="str">
        <f>"by Wanda Coven ; illustrated by Priscilla Burris"</f>
        <v>by Wanda Coven ; illustrated by Priscilla Burris</v>
      </c>
      <c r="G2158" s="3" t="str">
        <f>"Little Simon"</f>
        <v>Little Simon</v>
      </c>
      <c r="H2158" s="2" t="str">
        <f>"2020"</f>
        <v>2020</v>
      </c>
      <c r="I2158" s="3" t="str">
        <f>""</f>
        <v/>
      </c>
    </row>
    <row r="2159" spans="1:9" x14ac:dyDescent="0.3">
      <c r="A2159" s="2">
        <v>2158</v>
      </c>
      <c r="B2159" s="4" t="s">
        <v>33</v>
      </c>
      <c r="C2159" s="3" t="str">
        <f>"TFC000003719"</f>
        <v>TFC000003719</v>
      </c>
      <c r="D2159" s="3" t="str">
        <f>"F800-21-0550-(AR 3.2)"</f>
        <v>F800-21-0550-(AR 3.2)</v>
      </c>
      <c r="E2159" s="3" t="str">
        <f>"Henry Heckelbeck gets a dragon"</f>
        <v>Henry Heckelbeck gets a dragon</v>
      </c>
      <c r="F2159" s="3" t="str">
        <f>"by Wanda Coven ; illustrated by Priscilla Burris"</f>
        <v>by Wanda Coven ; illustrated by Priscilla Burris</v>
      </c>
      <c r="G2159" s="3" t="str">
        <f>"Little Simon"</f>
        <v>Little Simon</v>
      </c>
      <c r="H2159" s="2" t="str">
        <f>"2019"</f>
        <v>2019</v>
      </c>
      <c r="I2159" s="3" t="str">
        <f>""</f>
        <v/>
      </c>
    </row>
    <row r="2160" spans="1:9" x14ac:dyDescent="0.3">
      <c r="A2160" s="2">
        <v>2159</v>
      </c>
      <c r="B2160" s="4" t="s">
        <v>33</v>
      </c>
      <c r="C2160" s="3" t="str">
        <f>"TFC000003724"</f>
        <v>TFC000003724</v>
      </c>
      <c r="D2160" s="3" t="str">
        <f>"F800-21-0551-(AR 3.2)"</f>
        <v>F800-21-0551-(AR 3.2)</v>
      </c>
      <c r="E2160" s="3" t="str">
        <f>"Dory Fantasmagory : 2 books in 1!"</f>
        <v>Dory Fantasmagory : 2 books in 1!</v>
      </c>
      <c r="F2160" s="3" t="str">
        <f>"by Abby Hanlon"</f>
        <v>by Abby Hanlon</v>
      </c>
      <c r="G2160" s="3" t="str">
        <f>"Puffin Books"</f>
        <v>Puffin Books</v>
      </c>
      <c r="H2160" s="2" t="str">
        <f>"2019"</f>
        <v>2019</v>
      </c>
      <c r="I2160" s="3" t="str">
        <f>""</f>
        <v/>
      </c>
    </row>
    <row r="2161" spans="1:9" x14ac:dyDescent="0.3">
      <c r="A2161" s="2">
        <v>2160</v>
      </c>
      <c r="B2161" s="4" t="s">
        <v>33</v>
      </c>
      <c r="C2161" s="3" t="str">
        <f>"TFC000003734"</f>
        <v>TFC000003734</v>
      </c>
      <c r="D2161" s="3" t="str">
        <f>"F800-21-0552-(AR 3.2)"</f>
        <v>F800-21-0552-(AR 3.2)</v>
      </c>
      <c r="E2161" s="3" t="str">
        <f>"(The)class trip from the black lagoon"</f>
        <v>(The)class trip from the black lagoon</v>
      </c>
      <c r="F2161" s="3" t="str">
        <f>"by Mike Thaler ; illustraed by Jared lee"</f>
        <v>by Mike Thaler ; illustraed by Jared lee</v>
      </c>
      <c r="G2161" s="3" t="str">
        <f>"Scholastic"</f>
        <v>Scholastic</v>
      </c>
      <c r="H2161" s="2" t="str">
        <f>"2017"</f>
        <v>2017</v>
      </c>
      <c r="I2161" s="3" t="str">
        <f>""</f>
        <v/>
      </c>
    </row>
    <row r="2162" spans="1:9" x14ac:dyDescent="0.3">
      <c r="A2162" s="2">
        <v>2161</v>
      </c>
      <c r="B2162" s="4" t="s">
        <v>33</v>
      </c>
      <c r="C2162" s="3" t="str">
        <f>"TFC000003772"</f>
        <v>TFC000003772</v>
      </c>
      <c r="D2162" s="3" t="str">
        <f>"F800-21-0554-(AR 3.2)"</f>
        <v>F800-21-0554-(AR 3.2)</v>
      </c>
      <c r="E2162" s="3" t="str">
        <f>"Thank you, Omu!"</f>
        <v>Thank you, Omu!</v>
      </c>
      <c r="F2162" s="3" t="str">
        <f>"by Oge Mora"</f>
        <v>by Oge Mora</v>
      </c>
      <c r="G2162" s="3" t="str">
        <f>"Little, Brown and Company"</f>
        <v>Little, Brown and Company</v>
      </c>
      <c r="H2162" s="2" t="str">
        <f>"2018"</f>
        <v>2018</v>
      </c>
      <c r="I2162" s="3" t="str">
        <f>""</f>
        <v/>
      </c>
    </row>
    <row r="2163" spans="1:9" x14ac:dyDescent="0.3">
      <c r="A2163" s="2">
        <v>2162</v>
      </c>
      <c r="B2163" s="4" t="s">
        <v>33</v>
      </c>
      <c r="C2163" s="3" t="str">
        <f>"TFC000003872"</f>
        <v>TFC000003872</v>
      </c>
      <c r="D2163" s="3" t="str">
        <f>"F800-21-0555-(AR 3.2)"</f>
        <v>F800-21-0555-(AR 3.2)</v>
      </c>
      <c r="E2163" s="3" t="str">
        <f>"Elmer"</f>
        <v>Elmer</v>
      </c>
      <c r="F2163" s="3" t="str">
        <f>"by David McKee"</f>
        <v>by David McKee</v>
      </c>
      <c r="G2163" s="3" t="str">
        <f>"Andersen Press"</f>
        <v>Andersen Press</v>
      </c>
      <c r="H2163" s="2" t="str">
        <f>"2015"</f>
        <v>2015</v>
      </c>
      <c r="I2163" s="3" t="str">
        <f>""</f>
        <v/>
      </c>
    </row>
    <row r="2164" spans="1:9" x14ac:dyDescent="0.3">
      <c r="A2164" s="2">
        <v>2163</v>
      </c>
      <c r="B2164" s="4" t="s">
        <v>33</v>
      </c>
      <c r="C2164" s="3" t="str">
        <f>"TFC000003925"</f>
        <v>TFC000003925</v>
      </c>
      <c r="D2164" s="3" t="str">
        <f>"F800-21-0568-(AR 3.2)"</f>
        <v>F800-21-0568-(AR 3.2)</v>
      </c>
      <c r="E2164" s="3" t="str">
        <f>"Fireflies"</f>
        <v>Fireflies</v>
      </c>
      <c r="F2164" s="3" t="str">
        <f>"by Julie Brinckloe"</f>
        <v>by Julie Brinckloe</v>
      </c>
      <c r="G2164" s="3" t="str">
        <f>"Aladdin Books"</f>
        <v>Aladdin Books</v>
      </c>
      <c r="H2164" s="2" t="str">
        <f>"1986"</f>
        <v>1986</v>
      </c>
      <c r="I2164" s="3" t="str">
        <f>""</f>
        <v/>
      </c>
    </row>
    <row r="2165" spans="1:9" x14ac:dyDescent="0.3">
      <c r="A2165" s="2">
        <v>2164</v>
      </c>
      <c r="B2165" s="4" t="s">
        <v>33</v>
      </c>
      <c r="C2165" s="3" t="str">
        <f>"TFC000003945"</f>
        <v>TFC000003945</v>
      </c>
      <c r="D2165" s="3" t="str">
        <f>"F800-21-0570-(AR 3.2)"</f>
        <v>F800-21-0570-(AR 3.2)</v>
      </c>
      <c r="E2165" s="3" t="str">
        <f>"Just like Josh Gibson"</f>
        <v>Just like Josh Gibson</v>
      </c>
      <c r="F2165" s="3" t="str">
        <f>"written by Angela Johnson, illustrated by Beth Peck"</f>
        <v>written by Angela Johnson, illustrated by Beth Peck</v>
      </c>
      <c r="G2165" s="3" t="str">
        <f>"Aladdin Paperbacks"</f>
        <v>Aladdin Paperbacks</v>
      </c>
      <c r="H2165" s="2" t="str">
        <f>"2007"</f>
        <v>2007</v>
      </c>
      <c r="I2165" s="3" t="str">
        <f>""</f>
        <v/>
      </c>
    </row>
    <row r="2166" spans="1:9" x14ac:dyDescent="0.3">
      <c r="A2166" s="2">
        <v>2165</v>
      </c>
      <c r="B2166" s="4" t="s">
        <v>33</v>
      </c>
      <c r="C2166" s="3" t="str">
        <f>"TFC000004002"</f>
        <v>TFC000004002</v>
      </c>
      <c r="D2166" s="3" t="str">
        <f>"F400-21-0539-(AR 3.2)"</f>
        <v>F400-21-0539-(AR 3.2)</v>
      </c>
      <c r="E2166" s="3" t="str">
        <f>"What are traits?"</f>
        <v>What are traits?</v>
      </c>
      <c r="F2166" s="3" t="str">
        <f>"by Emily Sohn"</f>
        <v>by Emily Sohn</v>
      </c>
      <c r="G2166" s="3" t="str">
        <f>"Pebble"</f>
        <v>Pebble</v>
      </c>
      <c r="H2166" s="2" t="str">
        <f>"2022"</f>
        <v>2022</v>
      </c>
      <c r="I2166" s="3" t="str">
        <f>""</f>
        <v/>
      </c>
    </row>
    <row r="2167" spans="1:9" x14ac:dyDescent="0.3">
      <c r="A2167" s="2">
        <v>2166</v>
      </c>
      <c r="B2167" s="4" t="s">
        <v>33</v>
      </c>
      <c r="C2167" s="3" t="str">
        <f>"TFC000004003"</f>
        <v>TFC000004003</v>
      </c>
      <c r="D2167" s="3" t="str">
        <f>"F800-21-0571-(AR 3.2)"</f>
        <v>F800-21-0571-(AR 3.2)</v>
      </c>
      <c r="E2167" s="3" t="str">
        <f>"(The)Electric Slide and Kai"</f>
        <v>(The)Electric Slide and Kai</v>
      </c>
      <c r="F2167" s="3" t="str">
        <f>"by Kelly J. Baptist, illustrated by Darnell Johnson"</f>
        <v>by Kelly J. Baptist, illustrated by Darnell Johnson</v>
      </c>
      <c r="G2167" s="3" t="str">
        <f>"Lee &amp; Low Books Inc"</f>
        <v>Lee &amp; Low Books Inc</v>
      </c>
      <c r="H2167" s="2" t="str">
        <f>"2021"</f>
        <v>2021</v>
      </c>
      <c r="I2167" s="3" t="str">
        <f>""</f>
        <v/>
      </c>
    </row>
    <row r="2168" spans="1:9" x14ac:dyDescent="0.3">
      <c r="A2168" s="2">
        <v>2167</v>
      </c>
      <c r="B2168" s="4" t="s">
        <v>33</v>
      </c>
      <c r="C2168" s="3" t="str">
        <f>"TFC000004004"</f>
        <v>TFC000004004</v>
      </c>
      <c r="D2168" s="3" t="str">
        <f>"F800-21-0572-(AR 3.2)"</f>
        <v>F800-21-0572-(AR 3.2)</v>
      </c>
      <c r="E2168" s="3" t="str">
        <f>"Rescuing Mrs. Birdley"</f>
        <v>Rescuing Mrs. Birdley</v>
      </c>
      <c r="F2168" s="3" t="str">
        <f>"written by Aaron Reynolds, illustrated by Emma Reynolds"</f>
        <v>written by Aaron Reynolds, illustrated by Emma Reynolds</v>
      </c>
      <c r="G2168" s="3" t="str">
        <f>"Simon &amp; Schuster Books for Young Readers"</f>
        <v>Simon &amp; Schuster Books for Young Readers</v>
      </c>
      <c r="H2168" s="2" t="str">
        <f>"2020"</f>
        <v>2020</v>
      </c>
      <c r="I2168" s="3" t="str">
        <f>""</f>
        <v/>
      </c>
    </row>
    <row r="2169" spans="1:9" x14ac:dyDescent="0.3">
      <c r="A2169" s="2">
        <v>2168</v>
      </c>
      <c r="B2169" s="4" t="s">
        <v>33</v>
      </c>
      <c r="C2169" s="3" t="str">
        <f>"TFC000004116"</f>
        <v>TFC000004116</v>
      </c>
      <c r="D2169" s="3" t="str">
        <f>"F800-21-0573-(AR 3.2)"</f>
        <v>F800-21-0573-(AR 3.2)</v>
      </c>
      <c r="E2169" s="3" t="str">
        <f>"Ace lacewing, bug detective : bad bugs are my business"</f>
        <v>Ace lacewing, bug detective : bad bugs are my business</v>
      </c>
      <c r="F2169" s="3" t="str">
        <f>"by David Biedrzycki"</f>
        <v>by David Biedrzycki</v>
      </c>
      <c r="G2169" s="3" t="str">
        <f>"Charlesbridge"</f>
        <v>Charlesbridge</v>
      </c>
      <c r="H2169" s="2" t="str">
        <f>"2009"</f>
        <v>2009</v>
      </c>
      <c r="I2169" s="3" t="str">
        <f>""</f>
        <v/>
      </c>
    </row>
    <row r="2170" spans="1:9" x14ac:dyDescent="0.3">
      <c r="A2170" s="2">
        <v>2169</v>
      </c>
      <c r="B2170" s="4" t="s">
        <v>33</v>
      </c>
      <c r="C2170" s="3" t="str">
        <f>"TFC000004168"</f>
        <v>TFC000004168</v>
      </c>
      <c r="D2170" s="3" t="str">
        <f>"F800-21-0574-(AR 3.2)"</f>
        <v>F800-21-0574-(AR 3.2)</v>
      </c>
      <c r="E2170" s="3" t="str">
        <f>"New Shoes"</f>
        <v>New Shoes</v>
      </c>
      <c r="F2170" s="3" t="str">
        <f>"Sara Varon 지음"</f>
        <v>Sara Varon 지음</v>
      </c>
      <c r="G2170" s="3" t="str">
        <f>"First Second"</f>
        <v>First Second</v>
      </c>
      <c r="H2170" s="2" t="str">
        <f>"2018"</f>
        <v>2018</v>
      </c>
      <c r="I2170" s="3" t="str">
        <f>""</f>
        <v/>
      </c>
    </row>
    <row r="2171" spans="1:9" x14ac:dyDescent="0.3">
      <c r="A2171" s="2">
        <v>2170</v>
      </c>
      <c r="B2171" s="4" t="s">
        <v>33</v>
      </c>
      <c r="C2171" s="3" t="str">
        <f>"TFC000004170"</f>
        <v>TFC000004170</v>
      </c>
      <c r="D2171" s="3" t="str">
        <f>"F800-21-0575-(AR 3.2)"</f>
        <v>F800-21-0575-(AR 3.2)</v>
      </c>
      <c r="E2171" s="3" t="str">
        <f>"Pecos Bill, Monster Wrangler : A Graphic Novel"</f>
        <v>Pecos Bill, Monster Wrangler : A Graphic Novel</v>
      </c>
      <c r="F2171" s="3" t="str">
        <f>"by Benjamin Harper, Fernando Cano"</f>
        <v>by Benjamin Harper, Fernando Cano</v>
      </c>
      <c r="G2171" s="3" t="str">
        <f>"Stone Arch Books"</f>
        <v>Stone Arch Books</v>
      </c>
      <c r="H2171" s="2" t="str">
        <f>"2019"</f>
        <v>2019</v>
      </c>
      <c r="I2171" s="3" t="str">
        <f>""</f>
        <v/>
      </c>
    </row>
    <row r="2172" spans="1:9" x14ac:dyDescent="0.3">
      <c r="A2172" s="2">
        <v>2171</v>
      </c>
      <c r="B2172" s="4" t="s">
        <v>33</v>
      </c>
      <c r="C2172" s="3" t="str">
        <f>"TFC000004171"</f>
        <v>TFC000004171</v>
      </c>
      <c r="D2172" s="3" t="str">
        <f>"F800-21-0576-(AR 3.2)"</f>
        <v>F800-21-0576-(AR 3.2)</v>
      </c>
      <c r="E2172" s="3" t="str">
        <f>"(The)Hallo-wiener"</f>
        <v>(The)Hallo-wiener</v>
      </c>
      <c r="F2172" s="3" t="str">
        <f>"by Dav Pilkey"</f>
        <v>by Dav Pilkey</v>
      </c>
      <c r="G2172" s="3" t="str">
        <f>"Scholastic Paperbacks"</f>
        <v>Scholastic Paperbacks</v>
      </c>
      <c r="H2172" s="2" t="str">
        <f>"1995"</f>
        <v>1995</v>
      </c>
      <c r="I2172" s="3" t="str">
        <f>""</f>
        <v/>
      </c>
    </row>
    <row r="2173" spans="1:9" x14ac:dyDescent="0.3">
      <c r="A2173" s="2">
        <v>2172</v>
      </c>
      <c r="B2173" s="4" t="s">
        <v>33</v>
      </c>
      <c r="C2173" s="3" t="str">
        <f>"TFC000004237"</f>
        <v>TFC000004237</v>
      </c>
      <c r="D2173" s="3" t="str">
        <f>"F800-22-0030-(AR 3.2)=2"</f>
        <v>F800-22-0030-(AR 3.2)=2</v>
      </c>
      <c r="E2173" s="3" t="str">
        <f>"(The)104-story treehouse"</f>
        <v>(The)104-story treehouse</v>
      </c>
      <c r="F2173" s="3" t="str">
        <f>"by Andy Griffiths, illustrated by Terry Denton"</f>
        <v>by Andy Griffiths, illustrated by Terry Denton</v>
      </c>
      <c r="G2173" s="3" t="str">
        <f>"Feiwel and Friends"</f>
        <v>Feiwel and Friends</v>
      </c>
      <c r="H2173" s="2" t="str">
        <f>"2019"</f>
        <v>2019</v>
      </c>
      <c r="I2173" s="3" t="str">
        <f>""</f>
        <v/>
      </c>
    </row>
    <row r="2174" spans="1:9" x14ac:dyDescent="0.3">
      <c r="A2174" s="2">
        <v>2173</v>
      </c>
      <c r="B2174" s="4" t="s">
        <v>33</v>
      </c>
      <c r="C2174" s="3" t="str">
        <f>"TFC000004238"</f>
        <v>TFC000004238</v>
      </c>
      <c r="D2174" s="3" t="str">
        <f>"F800-22-0024-(AR 3.2)"</f>
        <v>F800-22-0024-(AR 3.2)</v>
      </c>
      <c r="E2174" s="3" t="str">
        <f>"(The)91-story treehouse"</f>
        <v>(The)91-story treehouse</v>
      </c>
      <c r="F2174" s="3" t="str">
        <f>"by Andy Griffiths, illustrated by Terry Denton"</f>
        <v>by Andy Griffiths, illustrated by Terry Denton</v>
      </c>
      <c r="G2174" s="3" t="str">
        <f>"Feiwel and Friends"</f>
        <v>Feiwel and Friends</v>
      </c>
      <c r="H2174" s="2" t="str">
        <f>"2017"</f>
        <v>2017</v>
      </c>
      <c r="I2174" s="3" t="str">
        <f>""</f>
        <v/>
      </c>
    </row>
    <row r="2175" spans="1:9" x14ac:dyDescent="0.3">
      <c r="A2175" s="2">
        <v>2174</v>
      </c>
      <c r="B2175" s="4" t="s">
        <v>33</v>
      </c>
      <c r="C2175" s="3" t="str">
        <f>"TFC000004272"</f>
        <v>TFC000004272</v>
      </c>
      <c r="D2175" s="3" t="str">
        <f>"F800-22-0029-(AR 3.2)"</f>
        <v>F800-22-0029-(AR 3.2)</v>
      </c>
      <c r="E2175" s="3" t="str">
        <f>"Ivy + Bean. 5, bound to be bad"</f>
        <v>Ivy + Bean. 5, bound to be bad</v>
      </c>
      <c r="F2175" s="3" t="str">
        <f>"by Annie Barrows, illustrated by Sophie Blackall"</f>
        <v>by Annie Barrows, illustrated by Sophie Blackall</v>
      </c>
      <c r="G2175" s="3" t="str">
        <f>"Chronicle Books"</f>
        <v>Chronicle Books</v>
      </c>
      <c r="H2175" s="2" t="str">
        <f>"2008"</f>
        <v>2008</v>
      </c>
      <c r="I2175" s="3" t="str">
        <f>""</f>
        <v/>
      </c>
    </row>
    <row r="2176" spans="1:9" x14ac:dyDescent="0.3">
      <c r="A2176" s="2">
        <v>2175</v>
      </c>
      <c r="B2176" s="4" t="s">
        <v>33</v>
      </c>
      <c r="C2176" s="3" t="str">
        <f>"TFC000004380"</f>
        <v>TFC000004380</v>
      </c>
      <c r="D2176" s="3" t="str">
        <f>"F800-22-0189-(AR 3.2)"</f>
        <v>F800-22-0189-(AR 3.2)</v>
      </c>
      <c r="E2176" s="3" t="str">
        <f>"Goldilicious"</f>
        <v>Goldilicious</v>
      </c>
      <c r="F2176" s="3" t="str">
        <f>"by Victoria Kann"</f>
        <v>by Victoria Kann</v>
      </c>
      <c r="G2176" s="3" t="str">
        <f>"Harpercollins"</f>
        <v>Harpercollins</v>
      </c>
      <c r="H2176" s="2" t="str">
        <f>"2015"</f>
        <v>2015</v>
      </c>
      <c r="I2176" s="3" t="str">
        <f>""</f>
        <v/>
      </c>
    </row>
    <row r="2177" spans="1:9" x14ac:dyDescent="0.3">
      <c r="A2177" s="2">
        <v>2176</v>
      </c>
      <c r="B2177" s="4" t="s">
        <v>33</v>
      </c>
      <c r="C2177" s="3" t="str">
        <f>"TFC000004803"</f>
        <v>TFC000004803</v>
      </c>
      <c r="D2177" s="3" t="str">
        <f>"F800-22-0541-(AR 3.2)"</f>
        <v>F800-22-0541-(AR 3.2)</v>
      </c>
      <c r="E2177" s="3" t="str">
        <f>"(The)143-Storey treehouse"</f>
        <v>(The)143-Storey treehouse</v>
      </c>
      <c r="F2177" s="3" t="str">
        <f>"by Andy Griffiths, illustrated by Terry Denton"</f>
        <v>by Andy Griffiths, illustrated by Terry Denton</v>
      </c>
      <c r="G2177" s="3" t="str">
        <f>"MacMillan Children's Books"</f>
        <v>MacMillan Children's Books</v>
      </c>
      <c r="H2177" s="2" t="str">
        <f>"2021"</f>
        <v>2021</v>
      </c>
      <c r="I2177" s="3" t="str">
        <f>""</f>
        <v/>
      </c>
    </row>
    <row r="2178" spans="1:9" x14ac:dyDescent="0.3">
      <c r="A2178" s="2">
        <v>2177</v>
      </c>
      <c r="B2178" s="4" t="s">
        <v>33</v>
      </c>
      <c r="C2178" s="3" t="str">
        <f>"TFC000004856"</f>
        <v>TFC000004856</v>
      </c>
      <c r="D2178" s="3" t="str">
        <f>"F800-22-0586-(AR3.2)"</f>
        <v>F800-22-0586-(AR3.2)</v>
      </c>
      <c r="E2178" s="3" t="str">
        <f>"Spy school : The graphic novel"</f>
        <v>Spy school : The graphic novel</v>
      </c>
      <c r="F2178" s="3" t="str">
        <f>"by Stuart Gibbs, illustrated by Anjan Sarkar"</f>
        <v>by Stuart Gibbs, illustrated by Anjan Sarkar</v>
      </c>
      <c r="G2178" s="3" t="str">
        <f>"Simon &amp; Schuster books for young readers"</f>
        <v>Simon &amp; Schuster books for young readers</v>
      </c>
      <c r="H2178" s="2" t="str">
        <f>"2022"</f>
        <v>2022</v>
      </c>
      <c r="I2178" s="3" t="str">
        <f>""</f>
        <v/>
      </c>
    </row>
    <row r="2179" spans="1:9" x14ac:dyDescent="0.3">
      <c r="A2179" s="2">
        <v>2178</v>
      </c>
      <c r="B2179" s="4" t="s">
        <v>33</v>
      </c>
      <c r="C2179" s="3" t="str">
        <f>"TFC000004525"</f>
        <v>TFC000004525</v>
      </c>
      <c r="D2179" s="3" t="str">
        <f>"F800-22-0334-(AR3.2)"</f>
        <v>F800-22-0334-(AR3.2)</v>
      </c>
      <c r="E2179" s="3" t="str">
        <f>"(A)Prehistoric Journey to the Center of the Earth"</f>
        <v>(A)Prehistoric Journey to the Center of the Earth</v>
      </c>
      <c r="F2179" s="3" t="str">
        <f>"by Benjamin Harper, illustrated by Otis Frampton"</f>
        <v>by Benjamin Harper, illustrated by Otis Frampton</v>
      </c>
      <c r="G2179" s="3" t="str">
        <f>"Stone Arch Books"</f>
        <v>Stone Arch Books</v>
      </c>
      <c r="H2179" s="2" t="str">
        <f>"2022"</f>
        <v>2022</v>
      </c>
      <c r="I2179" s="3" t="str">
        <f>""</f>
        <v/>
      </c>
    </row>
    <row r="2180" spans="1:9" x14ac:dyDescent="0.3">
      <c r="A2180" s="2">
        <v>2179</v>
      </c>
      <c r="B2180" s="4" t="s">
        <v>33</v>
      </c>
      <c r="C2180" s="3" t="str">
        <f>"TFC000004822"</f>
        <v>TFC000004822</v>
      </c>
      <c r="D2180" s="3" t="str">
        <f>"F800-22-0559-(AR3.2)"</f>
        <v>F800-22-0559-(AR3.2)</v>
      </c>
      <c r="E2180" s="3" t="str">
        <f>"Friends Forever"</f>
        <v>Friends Forever</v>
      </c>
      <c r="F2180" s="3" t="str">
        <f>"by Shannon Hale, Leuyen Pham"</f>
        <v>by Shannon Hale, Leuyen Pham</v>
      </c>
      <c r="G2180" s="3" t="str">
        <f>"First Second"</f>
        <v>First Second</v>
      </c>
      <c r="H2180" s="2" t="str">
        <f>"2021"</f>
        <v>2021</v>
      </c>
      <c r="I2180" s="3" t="str">
        <f>""</f>
        <v/>
      </c>
    </row>
    <row r="2181" spans="1:9" x14ac:dyDescent="0.3">
      <c r="A2181" s="2">
        <v>2180</v>
      </c>
      <c r="B2181" s="4" t="s">
        <v>33</v>
      </c>
      <c r="C2181" s="3" t="str">
        <f>"TFC000004461"</f>
        <v>TFC000004461</v>
      </c>
      <c r="D2181" s="3" t="str">
        <f>"F800-22-0270-(AR3.2)"</f>
        <v>F800-22-0270-(AR3.2)</v>
      </c>
      <c r="E2181" s="3" t="str">
        <f>"Beautifully me"</f>
        <v>Beautifully me</v>
      </c>
      <c r="F2181" s="3" t="str">
        <f>"written by Nabela Noor, illustrated by Nabi H. Ali"</f>
        <v>written by Nabela Noor, illustrated by Nabi H. Ali</v>
      </c>
      <c r="G2181" s="3" t="str">
        <f>"Simon &amp; Schuster Books for Young Readers"</f>
        <v>Simon &amp; Schuster Books for Young Readers</v>
      </c>
      <c r="H2181" s="2" t="str">
        <f>"2021"</f>
        <v>2021</v>
      </c>
      <c r="I2181" s="3" t="str">
        <f>""</f>
        <v/>
      </c>
    </row>
    <row r="2182" spans="1:9" x14ac:dyDescent="0.3">
      <c r="A2182" s="2">
        <v>2181</v>
      </c>
      <c r="B2182" s="4" t="s">
        <v>33</v>
      </c>
      <c r="C2182" s="3" t="str">
        <f>"TFC000004462"</f>
        <v>TFC000004462</v>
      </c>
      <c r="D2182" s="3" t="str">
        <f>"F400-22-0271-(AR3.2)"</f>
        <v>F400-22-0271-(AR3.2)</v>
      </c>
      <c r="E2182" s="3" t="str">
        <f>"Dinosaur Graveyards in Europe"</f>
        <v>Dinosaur Graveyards in Europe</v>
      </c>
      <c r="F2182" s="3" t="str">
        <f>"Grace Hansen"</f>
        <v>Grace Hansen</v>
      </c>
      <c r="G2182" s="3" t="str">
        <f>"Abdo Kids"</f>
        <v>Abdo Kids</v>
      </c>
      <c r="H2182" s="2" t="str">
        <f>"2021"</f>
        <v>2021</v>
      </c>
      <c r="I2182" s="3" t="str">
        <f>""</f>
        <v/>
      </c>
    </row>
    <row r="2183" spans="1:9" x14ac:dyDescent="0.3">
      <c r="A2183" s="2">
        <v>2182</v>
      </c>
      <c r="B2183" s="4" t="s">
        <v>33</v>
      </c>
      <c r="C2183" s="3" t="str">
        <f>"TFC000004463"</f>
        <v>TFC000004463</v>
      </c>
      <c r="D2183" s="3" t="str">
        <f>"F800-22-0272-(AR3.2)"</f>
        <v>F800-22-0272-(AR3.2)</v>
      </c>
      <c r="E2183" s="3" t="str">
        <f>"I don't want to read this book"</f>
        <v>I don't want to read this book</v>
      </c>
      <c r="F2183" s="3" t="str">
        <f>"written by Max Greenfield, illustrated by Mike Lowery"</f>
        <v>written by Max Greenfield, illustrated by Mike Lowery</v>
      </c>
      <c r="G2183" s="3" t="str">
        <f>"G.P. Putnam's Sons"</f>
        <v>G.P. Putnam's Sons</v>
      </c>
      <c r="H2183" s="2" t="str">
        <f>"2021"</f>
        <v>2021</v>
      </c>
      <c r="I2183" s="3" t="str">
        <f>""</f>
        <v/>
      </c>
    </row>
    <row r="2184" spans="1:9" x14ac:dyDescent="0.3">
      <c r="A2184" s="2">
        <v>2183</v>
      </c>
      <c r="B2184" s="4" t="s">
        <v>33</v>
      </c>
      <c r="C2184" s="3" t="str">
        <f>"TFC000004464"</f>
        <v>TFC000004464</v>
      </c>
      <c r="D2184" s="3" t="str">
        <f>"F800-22-0273-(AR3.2)"</f>
        <v>F800-22-0273-(AR3.2)</v>
      </c>
      <c r="E2184" s="3" t="str">
        <f>"Mistletoe : a Christmas story"</f>
        <v>Mistletoe : a Christmas story</v>
      </c>
      <c r="F2184" s="3" t="str">
        <f>"by Tad Hills"</f>
        <v>by Tad Hills</v>
      </c>
      <c r="G2184" s="3" t="str">
        <f>"Schwartz &amp; Wade Books"</f>
        <v>Schwartz &amp; Wade Books</v>
      </c>
      <c r="H2184" s="2" t="str">
        <f>"2020"</f>
        <v>2020</v>
      </c>
      <c r="I2184" s="3" t="str">
        <f>""</f>
        <v/>
      </c>
    </row>
    <row r="2185" spans="1:9" x14ac:dyDescent="0.3">
      <c r="A2185" s="2">
        <v>2184</v>
      </c>
      <c r="B2185" s="4" t="s">
        <v>33</v>
      </c>
      <c r="C2185" s="3" t="str">
        <f>"TFC000004465"</f>
        <v>TFC000004465</v>
      </c>
      <c r="D2185" s="3" t="str">
        <f>"F900-22-0274-(AR3.2)"</f>
        <v>F900-22-0274-(AR3.2)</v>
      </c>
      <c r="E2185" s="3" t="str">
        <f>"Terracotta Army"</f>
        <v>Terracotta Army</v>
      </c>
      <c r="F2185" s="3" t="str">
        <f>"by Julie Murray"</f>
        <v>by Julie Murray</v>
      </c>
      <c r="G2185" s="3" t="str">
        <f>"Dash"</f>
        <v>Dash</v>
      </c>
      <c r="H2185" s="2" t="str">
        <f>"2021"</f>
        <v>2021</v>
      </c>
      <c r="I2185" s="3" t="str">
        <f>""</f>
        <v/>
      </c>
    </row>
    <row r="2186" spans="1:9" x14ac:dyDescent="0.3">
      <c r="A2186" s="2">
        <v>2185</v>
      </c>
      <c r="B2186" s="4" t="s">
        <v>33</v>
      </c>
      <c r="C2186" s="3" t="str">
        <f>"TFC000004526"</f>
        <v>TFC000004526</v>
      </c>
      <c r="D2186" s="3" t="str">
        <f>"F800-22-0335-(AR3.2)"</f>
        <v>F800-22-0335-(AR3.2)</v>
      </c>
      <c r="E2186" s="3" t="str">
        <f>"Video Game Victors"</f>
        <v>Video Game Victors</v>
      </c>
      <c r="F2186" s="3" t="str">
        <f>"by Jake Maddox"</f>
        <v>by Jake Maddox</v>
      </c>
      <c r="G2186" s="3" t="str">
        <f>"Stone Arch Books"</f>
        <v>Stone Arch Books</v>
      </c>
      <c r="H2186" s="2" t="str">
        <f>"2022"</f>
        <v>2022</v>
      </c>
      <c r="I2186" s="3" t="str">
        <f>""</f>
        <v/>
      </c>
    </row>
    <row r="2187" spans="1:9" x14ac:dyDescent="0.3">
      <c r="A2187" s="2">
        <v>2186</v>
      </c>
      <c r="B2187" s="4" t="s">
        <v>33</v>
      </c>
      <c r="C2187" s="3" t="str">
        <f>"TFC000004679"</f>
        <v>TFC000004679</v>
      </c>
      <c r="D2187" s="3" t="str">
        <f>"F800-22-0488-(AR3.2)"</f>
        <v>F800-22-0488-(AR3.2)</v>
      </c>
      <c r="E2187" s="3" t="str">
        <f>"(The)Magic Mirror"</f>
        <v>(The)Magic Mirror</v>
      </c>
      <c r="F2187" s="3" t="str">
        <f>"story by Anna Staniszewski, art by Macky Pamintuan"</f>
        <v>story by Anna Staniszewski, art by Macky Pamintuan</v>
      </c>
      <c r="G2187" s="3" t="str">
        <f>"Scholastic"</f>
        <v>Scholastic</v>
      </c>
      <c r="H2187" s="2" t="str">
        <f>"2019"</f>
        <v>2019</v>
      </c>
      <c r="I2187" s="3" t="str">
        <f>""</f>
        <v/>
      </c>
    </row>
    <row r="2188" spans="1:9" x14ac:dyDescent="0.3">
      <c r="A2188" s="2">
        <v>2187</v>
      </c>
      <c r="B2188" s="4" t="s">
        <v>33</v>
      </c>
      <c r="C2188" s="3" t="str">
        <f>"TFC000004694"</f>
        <v>TFC000004694</v>
      </c>
      <c r="D2188" s="3" t="str">
        <f>"F800-22-0503-(AR3.2)"</f>
        <v>F800-22-0503-(AR3.2)</v>
      </c>
      <c r="E2188" s="3" t="str">
        <f>"I Survived the Attack of the Grizzlies, 1967"</f>
        <v>I Survived the Attack of the Grizzlies, 1967</v>
      </c>
      <c r="F2188" s="3" t="str">
        <f>"by Lauren Tarshis, art by Berat Pekmezci"</f>
        <v>by Lauren Tarshis, art by Berat Pekmezci</v>
      </c>
      <c r="G2188" s="3" t="str">
        <f>"Graphix"</f>
        <v>Graphix</v>
      </c>
      <c r="H2188" s="2" t="str">
        <f>"2022"</f>
        <v>2022</v>
      </c>
      <c r="I2188" s="3" t="str">
        <f>""</f>
        <v/>
      </c>
    </row>
    <row r="2189" spans="1:9" x14ac:dyDescent="0.3">
      <c r="A2189" s="2">
        <v>2188</v>
      </c>
      <c r="B2189" s="4" t="s">
        <v>33</v>
      </c>
      <c r="C2189" s="3" t="str">
        <f>"TFC000004906"</f>
        <v>TFC000004906</v>
      </c>
      <c r="D2189" s="3" t="str">
        <f>"F800-23-0010-(AR3.2)"</f>
        <v>F800-23-0010-(AR3.2)</v>
      </c>
      <c r="E2189" s="3" t="str">
        <f>"Sorry!"</f>
        <v>Sorry!</v>
      </c>
      <c r="F2189" s="3" t="str">
        <f>"by Trudy Ludwig, illustrations by Maurie J. Maurie J."</f>
        <v>by Trudy Ludwig, illustrations by Maurie J. Maurie J.</v>
      </c>
      <c r="G2189" s="3" t="str">
        <f>"Tricycle Press"</f>
        <v>Tricycle Press</v>
      </c>
      <c r="H2189" s="2" t="str">
        <f>"2006"</f>
        <v>2006</v>
      </c>
      <c r="I2189" s="3" t="str">
        <f>""</f>
        <v/>
      </c>
    </row>
    <row r="2190" spans="1:9" x14ac:dyDescent="0.3">
      <c r="A2190" s="2">
        <v>2189</v>
      </c>
      <c r="B2190" s="4" t="s">
        <v>33</v>
      </c>
      <c r="C2190" s="3" t="str">
        <f>"TFC000003880"</f>
        <v>TFC000003880</v>
      </c>
      <c r="D2190" s="3" t="str">
        <f>"F800-21-0563-10(AR 3.2)"</f>
        <v>F800-21-0563-10(AR 3.2)</v>
      </c>
      <c r="E2190" s="3" t="str">
        <f>"Goosebumps horrorland. 10, Help! We Have Strange Powers!"</f>
        <v>Goosebumps horrorland. 10, Help! We Have Strange Powers!</v>
      </c>
      <c r="F2190" s="3" t="str">
        <f>"by R. L. Stine"</f>
        <v>by R. L. Stine</v>
      </c>
      <c r="G2190" s="3" t="str">
        <f>"Scholastic"</f>
        <v>Scholastic</v>
      </c>
      <c r="H2190" s="2" t="str">
        <f>"2009"</f>
        <v>2009</v>
      </c>
      <c r="I2190" s="3" t="str">
        <f>""</f>
        <v/>
      </c>
    </row>
    <row r="2191" spans="1:9" x14ac:dyDescent="0.3">
      <c r="A2191" s="2">
        <v>2190</v>
      </c>
      <c r="B2191" s="4">
        <v>3.2</v>
      </c>
      <c r="C2191" s="3" t="str">
        <f>"TFC000003465"</f>
        <v>TFC000003465</v>
      </c>
      <c r="D2191" s="3" t="str">
        <f>"F800-21-0544-11(AR 3.2)"</f>
        <v>F800-21-0544-11(AR 3.2)</v>
      </c>
      <c r="E2191" s="3" t="str">
        <f>"Owl diaries. 11, Trip to the pumpkin farm"</f>
        <v>Owl diaries. 11, Trip to the pumpkin farm</v>
      </c>
      <c r="F2191" s="3" t="str">
        <f>"by Rebecca Elliott"</f>
        <v>by Rebecca Elliott</v>
      </c>
      <c r="G2191" s="3" t="str">
        <f>"Scholastic:Branches"</f>
        <v>Scholastic:Branches</v>
      </c>
      <c r="H2191" s="2" t="str">
        <f>"2019"</f>
        <v>2019</v>
      </c>
      <c r="I2191" s="3" t="str">
        <f>""</f>
        <v/>
      </c>
    </row>
    <row r="2192" spans="1:9" x14ac:dyDescent="0.3">
      <c r="A2192" s="2">
        <v>2191</v>
      </c>
      <c r="B2192" s="4">
        <v>3.2</v>
      </c>
      <c r="C2192" s="3" t="str">
        <f>"TFC000003879"</f>
        <v>TFC000003879</v>
      </c>
      <c r="D2192" s="3" t="str">
        <f>"F800-21-0562-11(AR 3.2)"</f>
        <v>F800-21-0562-11(AR 3.2)</v>
      </c>
      <c r="E2192" s="3" t="str">
        <f>"Goosebumps horrorland. 11, Escape From Horrorland"</f>
        <v>Goosebumps horrorland. 11, Escape From Horrorland</v>
      </c>
      <c r="F2192" s="3" t="str">
        <f>"by R. L. Stine"</f>
        <v>by R. L. Stine</v>
      </c>
      <c r="G2192" s="3" t="str">
        <f>"Scholastic"</f>
        <v>Scholastic</v>
      </c>
      <c r="H2192" s="2" t="str">
        <f>"2009"</f>
        <v>2009</v>
      </c>
      <c r="I2192" s="3" t="str">
        <f>""</f>
        <v/>
      </c>
    </row>
    <row r="2193" spans="1:9" x14ac:dyDescent="0.3">
      <c r="A2193" s="2">
        <v>2192</v>
      </c>
      <c r="B2193" s="4">
        <v>3.2</v>
      </c>
      <c r="C2193" s="3" t="str">
        <f>"TFC000004169"</f>
        <v>TFC000004169</v>
      </c>
      <c r="D2193" s="3" t="str">
        <f>"F800-21-0579-11(AR 3.2)=2"</f>
        <v>F800-21-0579-11(AR 3.2)=2</v>
      </c>
      <c r="E2193" s="3" t="str">
        <f>"Trip to the pumpkin farm"</f>
        <v>Trip to the pumpkin farm</v>
      </c>
      <c r="F2193" s="3" t="str">
        <f>"by Rebecca Elliott"</f>
        <v>by Rebecca Elliott</v>
      </c>
      <c r="G2193" s="3" t="str">
        <f>"Scholastic:Branches"</f>
        <v>Scholastic:Branches</v>
      </c>
      <c r="H2193" s="2" t="str">
        <f>"2019"</f>
        <v>2019</v>
      </c>
      <c r="I2193" s="3" t="str">
        <f>""</f>
        <v/>
      </c>
    </row>
    <row r="2194" spans="1:9" x14ac:dyDescent="0.3">
      <c r="A2194" s="2">
        <v>2193</v>
      </c>
      <c r="B2194" s="4">
        <v>3.2</v>
      </c>
      <c r="C2194" s="3" t="str">
        <f>"TFC000004720"</f>
        <v>TFC000004720</v>
      </c>
      <c r="D2194" s="3" t="str">
        <f>"F800-22-0519-11(AR 3.2)"</f>
        <v>F800-22-0519-11(AR 3.2)</v>
      </c>
      <c r="E2194" s="3" t="str">
        <f>"(The)143-Storey Treehouse"</f>
        <v>(The)143-Storey Treehouse</v>
      </c>
      <c r="F2194" s="3" t="str">
        <f>"by Andy Griffiths, Illustrated by Terry Denton"</f>
        <v>by Andy Griffiths, Illustrated by Terry Denton</v>
      </c>
      <c r="G2194" s="3" t="str">
        <f>"Pan Macmillan"</f>
        <v>Pan Macmillan</v>
      </c>
      <c r="H2194" s="2" t="str">
        <f>"2022"</f>
        <v>2022</v>
      </c>
      <c r="I2194" s="3" t="str">
        <f>""</f>
        <v/>
      </c>
    </row>
    <row r="2195" spans="1:9" x14ac:dyDescent="0.3">
      <c r="A2195" s="2">
        <v>2194</v>
      </c>
      <c r="B2195" s="4">
        <v>3.2</v>
      </c>
      <c r="C2195" s="3" t="str">
        <f>"TFC000004818"</f>
        <v>TFC000004818</v>
      </c>
      <c r="D2195" s="3" t="str">
        <f>"F800-22-0519-11(AR 3.2)=2"</f>
        <v>F800-22-0519-11(AR 3.2)=2</v>
      </c>
      <c r="E2195" s="3" t="str">
        <f>"(The)143-storey treehouse"</f>
        <v>(The)143-storey treehouse</v>
      </c>
      <c r="F2195" s="3" t="str">
        <f>"by Andy Griffiths, Illustrated by Terry Denton"</f>
        <v>by Andy Griffiths, Illustrated by Terry Denton</v>
      </c>
      <c r="G2195" s="3" t="str">
        <f>"Pan Macmillan"</f>
        <v>Pan Macmillan</v>
      </c>
      <c r="H2195" s="2" t="str">
        <f>"2022"</f>
        <v>2022</v>
      </c>
      <c r="I2195" s="3" t="str">
        <f>""</f>
        <v/>
      </c>
    </row>
    <row r="2196" spans="1:9" x14ac:dyDescent="0.3">
      <c r="A2196" s="2">
        <v>2195</v>
      </c>
      <c r="B2196" s="4">
        <v>3.2</v>
      </c>
      <c r="C2196" s="3" t="str">
        <f>"TFC000003878"</f>
        <v>TFC000003878</v>
      </c>
      <c r="D2196" s="3" t="str">
        <f>"F800-21-0561-12(AR 3.2)"</f>
        <v>F800-21-0561-12(AR 3.2)</v>
      </c>
      <c r="E2196" s="3" t="str">
        <f>"Goosebumps horrorland. 12, The Street of Panic Park"</f>
        <v>Goosebumps horrorland. 12, The Street of Panic Park</v>
      </c>
      <c r="F2196" s="3" t="str">
        <f>"by R. L. Stine"</f>
        <v>by R. L. Stine</v>
      </c>
      <c r="G2196" s="3" t="str">
        <f>"Scholastic"</f>
        <v>Scholastic</v>
      </c>
      <c r="H2196" s="2" t="str">
        <f>"2009"</f>
        <v>2009</v>
      </c>
      <c r="I2196" s="3" t="str">
        <f>""</f>
        <v/>
      </c>
    </row>
    <row r="2197" spans="1:9" x14ac:dyDescent="0.3">
      <c r="A2197" s="2">
        <v>2196</v>
      </c>
      <c r="B2197" s="4">
        <v>3.2</v>
      </c>
      <c r="C2197" s="3" t="str">
        <f>"TFC000003883"</f>
        <v>TFC000003883</v>
      </c>
      <c r="D2197" s="3" t="str">
        <f>"F800-21-0566-12(AR 3.2)"</f>
        <v>F800-21-0566-12(AR 3.2)</v>
      </c>
      <c r="E2197" s="3" t="str">
        <f>"(The)Critter club. 12, Marion takes charge"</f>
        <v>(The)Critter club. 12, Marion takes charge</v>
      </c>
      <c r="F2197" s="3" t="str">
        <f>"by Callie Barkley, illustrated by Marsha Riti"</f>
        <v>by Callie Barkley, illustrated by Marsha Riti</v>
      </c>
      <c r="G2197" s="3" t="str">
        <f>"LittleSimon"</f>
        <v>LittleSimon</v>
      </c>
      <c r="H2197" s="2" t="str">
        <f>"2015"</f>
        <v>2015</v>
      </c>
      <c r="I2197" s="3" t="str">
        <f>""</f>
        <v/>
      </c>
    </row>
    <row r="2198" spans="1:9" x14ac:dyDescent="0.3">
      <c r="A2198" s="2">
        <v>2197</v>
      </c>
      <c r="B2198" s="4">
        <v>3.2</v>
      </c>
      <c r="C2198" s="3" t="str">
        <f>"TFC000004262"</f>
        <v>TFC000004262</v>
      </c>
      <c r="D2198" s="3" t="str">
        <f>"F800-22-0026-14(AR 3.2)"</f>
        <v>F800-22-0026-14(AR 3.2)</v>
      </c>
      <c r="E2198" s="3" t="str">
        <f>"(The)Critter club. 14, Ellie the flower girl"</f>
        <v>(The)Critter club. 14, Ellie the flower girl</v>
      </c>
      <c r="F2198" s="3" t="str">
        <f>"by Callie Barkley, illustrated by Tracy Bishop"</f>
        <v>by Callie Barkley, illustrated by Tracy Bishop</v>
      </c>
      <c r="G2198" s="3" t="str">
        <f>"Little Simon"</f>
        <v>Little Simon</v>
      </c>
      <c r="H2198" s="2" t="str">
        <f>"2016"</f>
        <v>2016</v>
      </c>
      <c r="I2198" s="3" t="str">
        <f>""</f>
        <v/>
      </c>
    </row>
    <row r="2199" spans="1:9" x14ac:dyDescent="0.3">
      <c r="A2199" s="2">
        <v>2198</v>
      </c>
      <c r="B2199" s="4">
        <v>3.2</v>
      </c>
      <c r="C2199" s="3" t="str">
        <f>"TFC000003877"</f>
        <v>TFC000003877</v>
      </c>
      <c r="D2199" s="3" t="str">
        <f>"F800-21-0560-15(AR 3.2)"</f>
        <v>F800-21-0560-15(AR 3.2)</v>
      </c>
      <c r="E2199" s="3" t="str">
        <f>"Goosebumps horrorland. 15, Heads, you Lose!"</f>
        <v>Goosebumps horrorland. 15, Heads, you Lose!</v>
      </c>
      <c r="F2199" s="3" t="str">
        <f>"by R. L. Stine"</f>
        <v>by R. L. Stine</v>
      </c>
      <c r="G2199" s="3" t="str">
        <f>"Scholastic"</f>
        <v>Scholastic</v>
      </c>
      <c r="H2199" s="2" t="str">
        <f>"2010"</f>
        <v>2010</v>
      </c>
      <c r="I2199" s="3" t="str">
        <f>""</f>
        <v/>
      </c>
    </row>
    <row r="2200" spans="1:9" x14ac:dyDescent="0.3">
      <c r="A2200" s="2">
        <v>2199</v>
      </c>
      <c r="B2200" s="4">
        <v>3.2</v>
      </c>
      <c r="C2200" s="3" t="str">
        <f>"TFC000004263"</f>
        <v>TFC000004263</v>
      </c>
      <c r="D2200" s="3" t="str">
        <f>"F800-22-0027-15(AR 3.2)"</f>
        <v>F800-22-0027-15(AR 3.2)</v>
      </c>
      <c r="E2200" s="3" t="str">
        <f>"(The)Critter club. 15, Liz's night at the museum"</f>
        <v>(The)Critter club. 15, Liz's night at the museum</v>
      </c>
      <c r="F2200" s="3" t="str">
        <f>"by Callie Barkley, illustrated by Tracy Bishop"</f>
        <v>by Callie Barkley, illustrated by Tracy Bishop</v>
      </c>
      <c r="G2200" s="3" t="str">
        <f>"Little Simon"</f>
        <v>Little Simon</v>
      </c>
      <c r="H2200" s="2" t="str">
        <f>"2016"</f>
        <v>2016</v>
      </c>
      <c r="I2200" s="3" t="str">
        <f>""</f>
        <v/>
      </c>
    </row>
    <row r="2201" spans="1:9" x14ac:dyDescent="0.3">
      <c r="A2201" s="2">
        <v>2200</v>
      </c>
      <c r="B2201" s="4">
        <v>3.2</v>
      </c>
      <c r="C2201" s="3" t="str">
        <f>"TFC000003873"</f>
        <v>TFC000003873</v>
      </c>
      <c r="D2201" s="3" t="str">
        <f>"F800-21-0556-19(AR 3.2)"</f>
        <v>F800-21-0556-19(AR 3.2)</v>
      </c>
      <c r="E2201" s="3" t="str">
        <f>"Goosebumps horrorland. 19, The Horror at Chiller House"</f>
        <v>Goosebumps horrorland. 19, The Horror at Chiller House</v>
      </c>
      <c r="F2201" s="3" t="str">
        <f>"by R. L. Stine"</f>
        <v>by R. L. Stine</v>
      </c>
      <c r="G2201" s="3" t="str">
        <f>"Scholastic"</f>
        <v>Scholastic</v>
      </c>
      <c r="H2201" s="2" t="str">
        <f>"2011"</f>
        <v>2011</v>
      </c>
      <c r="I2201" s="3" t="str">
        <f>""</f>
        <v/>
      </c>
    </row>
    <row r="2202" spans="1:9" x14ac:dyDescent="0.3">
      <c r="A2202" s="2">
        <v>2201</v>
      </c>
      <c r="B2202" s="4">
        <v>3.2</v>
      </c>
      <c r="C2202" s="3" t="str">
        <f>"TFC000004266"</f>
        <v>TFC000004266</v>
      </c>
      <c r="D2202" s="3" t="str">
        <f>"F800-22-0028-19(AR 3.2)"</f>
        <v>F800-22-0028-19(AR 3.2)</v>
      </c>
      <c r="E2202" s="3" t="str">
        <f>"(The)Critter club. 19, Liz and the Nosy neighbor"</f>
        <v>(The)Critter club. 19, Liz and the Nosy neighbor</v>
      </c>
      <c r="F2202" s="3" t="str">
        <f>"by Callie Barkley, illlustrated by Tracy Bishop"</f>
        <v>by Callie Barkley, illlustrated by Tracy Bishop</v>
      </c>
      <c r="G2202" s="3" t="str">
        <f>"Little simon"</f>
        <v>Little simon</v>
      </c>
      <c r="H2202" s="2" t="str">
        <f>"2018"</f>
        <v>2018</v>
      </c>
      <c r="I2202" s="3" t="str">
        <f>""</f>
        <v/>
      </c>
    </row>
    <row r="2203" spans="1:9" x14ac:dyDescent="0.3">
      <c r="A2203" s="2">
        <v>2202</v>
      </c>
      <c r="B2203" s="4">
        <v>3.2</v>
      </c>
      <c r="C2203" s="3" t="str">
        <f>"TFC000003876"</f>
        <v>TFC000003876</v>
      </c>
      <c r="D2203" s="3" t="str">
        <f>"F800-21-0559-2(AR 3.2)"</f>
        <v>F800-21-0559-2(AR 3.2)</v>
      </c>
      <c r="E2203" s="3" t="str">
        <f>"Goosebumps horrorland. 2, Creep From the Deep"</f>
        <v>Goosebumps horrorland. 2, Creep From the Deep</v>
      </c>
      <c r="F2203" s="3" t="str">
        <f>"by R. L. Stine"</f>
        <v>by R. L. Stine</v>
      </c>
      <c r="G2203" s="3" t="str">
        <f>"Scholastic"</f>
        <v>Scholastic</v>
      </c>
      <c r="H2203" s="2" t="str">
        <f>"2008"</f>
        <v>2008</v>
      </c>
      <c r="I2203" s="3" t="str">
        <f>""</f>
        <v/>
      </c>
    </row>
    <row r="2204" spans="1:9" x14ac:dyDescent="0.3">
      <c r="A2204" s="2">
        <v>2203</v>
      </c>
      <c r="B2204" s="4">
        <v>3.2</v>
      </c>
      <c r="C2204" s="3" t="str">
        <f>"TFC000004253"</f>
        <v>TFC000004253</v>
      </c>
      <c r="D2204" s="3" t="str">
        <f>"F800-22-0025-2(AR 3.2)"</f>
        <v>F800-22-0025-2(AR 3.2)</v>
      </c>
      <c r="E2204" s="3" t="str">
        <f>"(The)Critter club. 2, All about Ellie"</f>
        <v>(The)Critter club. 2, All about Ellie</v>
      </c>
      <c r="F2204" s="3" t="str">
        <f>"by Callie Barkley, illustrated by Marsha Riti"</f>
        <v>by Callie Barkley, illustrated by Marsha Riti</v>
      </c>
      <c r="G2204" s="3" t="str">
        <f>"LittleSimon"</f>
        <v>LittleSimon</v>
      </c>
      <c r="H2204" s="2" t="str">
        <f>"2013"</f>
        <v>2013</v>
      </c>
      <c r="I2204" s="3" t="str">
        <f>""</f>
        <v/>
      </c>
    </row>
    <row r="2205" spans="1:9" x14ac:dyDescent="0.3">
      <c r="A2205" s="2">
        <v>2204</v>
      </c>
      <c r="B2205" s="4">
        <v>3.2</v>
      </c>
      <c r="C2205" s="3" t="str">
        <f>"TFC000003882"</f>
        <v>TFC000003882</v>
      </c>
      <c r="D2205" s="3" t="str">
        <f>"F800-21-0565-4(AR 3.2)"</f>
        <v>F800-21-0565-4(AR 3.2)</v>
      </c>
      <c r="E2205" s="3" t="str">
        <f>"Goosebumps horrorland. 17, The Scream of the Haunted Mask"</f>
        <v>Goosebumps horrorland. 17, The Scream of the Haunted Mask</v>
      </c>
      <c r="F2205" s="3" t="str">
        <f>"by R. L. Stine"</f>
        <v>by R. L. Stine</v>
      </c>
      <c r="G2205" s="3" t="str">
        <f>"Scholastic"</f>
        <v>Scholastic</v>
      </c>
      <c r="H2205" s="2" t="str">
        <f>"2008"</f>
        <v>2008</v>
      </c>
      <c r="I2205" s="3" t="str">
        <f>""</f>
        <v/>
      </c>
    </row>
    <row r="2206" spans="1:9" x14ac:dyDescent="0.3">
      <c r="A2206" s="2">
        <v>2205</v>
      </c>
      <c r="B2206" s="4">
        <v>3.2</v>
      </c>
      <c r="C2206" s="3" t="str">
        <f>"TFC000003875"</f>
        <v>TFC000003875</v>
      </c>
      <c r="D2206" s="3" t="str">
        <f>"F800-21-0558-5(AR 3.2)"</f>
        <v>F800-21-0558-5(AR 3.2)</v>
      </c>
      <c r="E2206" s="3" t="str">
        <f>"Goosebumps horrorland. 5, Dr. Maniac vs. Robby Schwartz"</f>
        <v>Goosebumps horrorland. 5, Dr. Maniac vs. Robby Schwartz</v>
      </c>
      <c r="F2206" s="3" t="str">
        <f>"by R. L. Stine"</f>
        <v>by R. L. Stine</v>
      </c>
      <c r="G2206" s="3" t="str">
        <f>"Scholastic"</f>
        <v>Scholastic</v>
      </c>
      <c r="H2206" s="2" t="str">
        <f>"2008"</f>
        <v>2008</v>
      </c>
      <c r="I2206" s="3" t="str">
        <f>""</f>
        <v/>
      </c>
    </row>
    <row r="2207" spans="1:9" x14ac:dyDescent="0.3">
      <c r="A2207" s="2">
        <v>2206</v>
      </c>
      <c r="B2207" s="4">
        <v>3.2</v>
      </c>
      <c r="C2207" s="3" t="str">
        <f>"TFC000003874"</f>
        <v>TFC000003874</v>
      </c>
      <c r="D2207" s="3" t="str">
        <f>"F800-21-0557-6(AR 3.2)"</f>
        <v>F800-21-0557-6(AR 3.2)</v>
      </c>
      <c r="E2207" s="3" t="str">
        <f>"Goosebumps horrorland. 6, Who's Your Mummy?"</f>
        <v>Goosebumps horrorland. 6, Who's Your Mummy?</v>
      </c>
      <c r="F2207" s="3" t="str">
        <f>"by R. L. Stine"</f>
        <v>by R. L. Stine</v>
      </c>
      <c r="G2207" s="3" t="str">
        <f>"Scholastic"</f>
        <v>Scholastic</v>
      </c>
      <c r="H2207" s="2" t="str">
        <f>"2009"</f>
        <v>2009</v>
      </c>
      <c r="I2207" s="3" t="str">
        <f>""</f>
        <v/>
      </c>
    </row>
    <row r="2208" spans="1:9" x14ac:dyDescent="0.3">
      <c r="A2208" s="2">
        <v>2207</v>
      </c>
      <c r="B2208" s="4">
        <v>3.2</v>
      </c>
      <c r="C2208" s="3" t="str">
        <f>"TFC000004716"</f>
        <v>TFC000004716</v>
      </c>
      <c r="D2208" s="3" t="str">
        <f>"F800-22-0519-7(AR 3.2)"</f>
        <v>F800-22-0519-7(AR 3.2)</v>
      </c>
      <c r="E2208" s="3" t="str">
        <f>"(The)91-Storey Treehouse"</f>
        <v>(The)91-Storey Treehouse</v>
      </c>
      <c r="F2208" s="3" t="str">
        <f>"by Andy Griffiths, illustrated by Terry Denton"</f>
        <v>by Andy Griffiths, illustrated by Terry Denton</v>
      </c>
      <c r="G2208" s="3" t="str">
        <f>"Pan MacMillan Childrens"</f>
        <v>Pan MacMillan Childrens</v>
      </c>
      <c r="H2208" s="2" t="str">
        <f>"2017"</f>
        <v>2017</v>
      </c>
      <c r="I2208" s="3" t="str">
        <f>""</f>
        <v/>
      </c>
    </row>
    <row r="2209" spans="1:9" x14ac:dyDescent="0.3">
      <c r="A2209" s="2">
        <v>2208</v>
      </c>
      <c r="B2209" s="4" t="s">
        <v>33</v>
      </c>
      <c r="C2209" s="3" t="str">
        <f>"TFC000003924"</f>
        <v>TFC000003924</v>
      </c>
      <c r="D2209" s="3" t="str">
        <f>"F800-21-0567-8(AR 3.2)"</f>
        <v>F800-21-0567-8(AR 3.2)</v>
      </c>
      <c r="E2209" s="3" t="str">
        <f>"Ivy + Bean. 8, No news is good News"</f>
        <v>Ivy + Bean. 8, No news is good News</v>
      </c>
      <c r="F2209" s="3" t="str">
        <f>"written by Annie Barrows, illustrated by Sophie Blackall"</f>
        <v>written by Annie Barrows, illustrated by Sophie Blackall</v>
      </c>
      <c r="G2209" s="3" t="str">
        <f>"Chronicle Books"</f>
        <v>Chronicle Books</v>
      </c>
      <c r="H2209" s="2" t="str">
        <f>"2012"</f>
        <v>2012</v>
      </c>
      <c r="I2209" s="3" t="str">
        <f>""</f>
        <v/>
      </c>
    </row>
    <row r="2210" spans="1:9" x14ac:dyDescent="0.3">
      <c r="A2210" s="2">
        <v>2209</v>
      </c>
      <c r="B2210" s="4" t="s">
        <v>33</v>
      </c>
      <c r="C2210" s="3" t="str">
        <f>"TFC000003881"</f>
        <v>TFC000003881</v>
      </c>
      <c r="D2210" s="3" t="str">
        <f>"F800-21-0564-9(AR 3.2)"</f>
        <v>F800-21-0564-9(AR 3.2)</v>
      </c>
      <c r="E2210" s="3" t="str">
        <f>"Goosebumps horrorland. 9, Welcome to Camp Slither"</f>
        <v>Goosebumps horrorland. 9, Welcome to Camp Slither</v>
      </c>
      <c r="F2210" s="3" t="str">
        <f>"by R. L. Stine"</f>
        <v>by R. L. Stine</v>
      </c>
      <c r="G2210" s="3" t="str">
        <f>"Scholastic"</f>
        <v>Scholastic</v>
      </c>
      <c r="H2210" s="2" t="str">
        <f>"2009"</f>
        <v>2009</v>
      </c>
      <c r="I2210" s="3" t="str">
        <f>""</f>
        <v/>
      </c>
    </row>
    <row r="2211" spans="1:9" x14ac:dyDescent="0.3">
      <c r="A2211" s="2">
        <v>2210</v>
      </c>
      <c r="B2211" s="4" t="s">
        <v>34</v>
      </c>
      <c r="C2211" s="3" t="str">
        <f>"TFC000003619"</f>
        <v>TFC000003619</v>
      </c>
      <c r="D2211" s="3" t="str">
        <f>"F800-21-0590-(AR 3.3)"</f>
        <v>F800-21-0590-(AR 3.3)</v>
      </c>
      <c r="E2211" s="3" t="str">
        <f>"Jenny the joker"</f>
        <v>Jenny the joker</v>
      </c>
      <c r="F2211" s="3" t="str">
        <f>"by Colin West"</f>
        <v>by Colin West</v>
      </c>
      <c r="G2211" s="3" t="str">
        <f>"A&amp;C Black:키즈북세종"</f>
        <v>A&amp;C Black:키즈북세종</v>
      </c>
      <c r="H2211" s="2" t="str">
        <f>"1999"</f>
        <v>1999</v>
      </c>
      <c r="I2211" s="2" t="s">
        <v>2</v>
      </c>
    </row>
    <row r="2212" spans="1:9" x14ac:dyDescent="0.3">
      <c r="A2212" s="2">
        <v>2211</v>
      </c>
      <c r="B2212" s="4" t="s">
        <v>34</v>
      </c>
      <c r="C2212" s="3" t="str">
        <f>"TFC000001432"</f>
        <v>TFC000001432</v>
      </c>
      <c r="D2212" s="3" t="str">
        <f>"F800-20-1600-(AR 3.3)"</f>
        <v>F800-20-1600-(AR 3.3)</v>
      </c>
      <c r="E2212" s="3" t="str">
        <f>"Something from nothing"</f>
        <v>Something from nothing</v>
      </c>
      <c r="F2212" s="3" t="str">
        <f>"Phoebe Gilman"</f>
        <v>Phoebe Gilman</v>
      </c>
      <c r="G2212" s="3" t="str">
        <f>"JYbooks"</f>
        <v>JYbooks</v>
      </c>
      <c r="H2212" s="2" t="str">
        <f>"2019"</f>
        <v>2019</v>
      </c>
      <c r="I2212" s="2" t="s">
        <v>2</v>
      </c>
    </row>
    <row r="2213" spans="1:9" x14ac:dyDescent="0.3">
      <c r="A2213" s="2">
        <v>2212</v>
      </c>
      <c r="B2213" s="4" t="s">
        <v>34</v>
      </c>
      <c r="C2213" s="3" t="str">
        <f>"TFC000001407"</f>
        <v>TFC000001407</v>
      </c>
      <c r="D2213" s="3" t="str">
        <f>"F800-20-1575-(AR 3.3)"</f>
        <v>F800-20-1575-(AR 3.3)</v>
      </c>
      <c r="E2213" s="3" t="str">
        <f>"(The)misfortune cookie"</f>
        <v>(The)misfortune cookie</v>
      </c>
      <c r="F2213" s="3" t="str">
        <f>"by Dan Greenburg ; illustrated by Jack E. Davis"</f>
        <v>by Dan Greenburg ; illustrated by Jack E. Davis</v>
      </c>
      <c r="G2213" s="3" t="str">
        <f>"Grosset &amp; Dunlap"</f>
        <v>Grosset &amp; Dunlap</v>
      </c>
      <c r="H2213" s="2" t="str">
        <f>"1998"</f>
        <v>1998</v>
      </c>
      <c r="I2213" s="2" t="s">
        <v>2</v>
      </c>
    </row>
    <row r="2214" spans="1:9" x14ac:dyDescent="0.3">
      <c r="A2214" s="2">
        <v>2213</v>
      </c>
      <c r="B2214" s="4" t="s">
        <v>34</v>
      </c>
      <c r="C2214" s="3" t="str">
        <f>"TFC000001456"</f>
        <v>TFC000001456</v>
      </c>
      <c r="D2214" s="3" t="str">
        <f>"F800-20-1624-(AR 3.3)"</f>
        <v>F800-20-1624-(AR 3.3)</v>
      </c>
      <c r="E2214" s="3" t="str">
        <f>"(The)minotaur"</f>
        <v>(The)minotaur</v>
      </c>
      <c r="F2214" s="3" t="str">
        <f>"retold by Russell Punter ; illustrated by Linda Cavallini"</f>
        <v>retold by Russell Punter ; illustrated by Linda Cavallini</v>
      </c>
      <c r="G2214" s="3" t="str">
        <f>"Usborne"</f>
        <v>Usborne</v>
      </c>
      <c r="H2214" s="2" t="str">
        <f>"2009"</f>
        <v>2009</v>
      </c>
      <c r="I2214" s="2" t="s">
        <v>2</v>
      </c>
    </row>
    <row r="2215" spans="1:9" x14ac:dyDescent="0.3">
      <c r="A2215" s="2">
        <v>2214</v>
      </c>
      <c r="B2215" s="4" t="s">
        <v>34</v>
      </c>
      <c r="C2215" s="3" t="str">
        <f>"TFC000001397"</f>
        <v>TFC000001397</v>
      </c>
      <c r="D2215" s="3" t="str">
        <f>"F400-20-1564-(AR 3.3)"</f>
        <v>F400-20-1564-(AR 3.3)</v>
      </c>
      <c r="E2215" s="3" t="str">
        <f>"Andrew lost. 1, on the dog"</f>
        <v>Andrew lost. 1, on the dog</v>
      </c>
      <c r="F2215" s="3" t="str">
        <f>"by J. C. Greenburg ; illustrated by Debbie Palen"</f>
        <v>by J. C. Greenburg ; illustrated by Debbie Palen</v>
      </c>
      <c r="G2215" s="3" t="str">
        <f>"Random House"</f>
        <v>Random House</v>
      </c>
      <c r="H2215" s="2" t="str">
        <f>"2002"</f>
        <v>2002</v>
      </c>
      <c r="I2215" s="3" t="str">
        <f>""</f>
        <v/>
      </c>
    </row>
    <row r="2216" spans="1:9" x14ac:dyDescent="0.3">
      <c r="A2216" s="2">
        <v>2215</v>
      </c>
      <c r="B2216" s="4" t="s">
        <v>34</v>
      </c>
      <c r="C2216" s="3" t="str">
        <f>"TFC000001399"</f>
        <v>TFC000001399</v>
      </c>
      <c r="D2216" s="3" t="str">
        <f>"F400-20-1566-(AR 3.3)"</f>
        <v>F400-20-1566-(AR 3.3)</v>
      </c>
      <c r="E2216" s="3" t="str">
        <f>"Fireflies in the night"</f>
        <v>Fireflies in the night</v>
      </c>
      <c r="F2216" s="3" t="str">
        <f>"by Judy Hawes ; illustrated by Ellen Alexander"</f>
        <v>by Judy Hawes ; illustrated by Ellen Alexander</v>
      </c>
      <c r="G2216" s="3" t="str">
        <f>"HarperCollins:HarperTrophy"</f>
        <v>HarperCollins:HarperTrophy</v>
      </c>
      <c r="H2216" s="2" t="str">
        <f>"1991"</f>
        <v>1991</v>
      </c>
      <c r="I2216" s="3" t="str">
        <f>""</f>
        <v/>
      </c>
    </row>
    <row r="2217" spans="1:9" x14ac:dyDescent="0.3">
      <c r="A2217" s="2">
        <v>2216</v>
      </c>
      <c r="B2217" s="4" t="s">
        <v>34</v>
      </c>
      <c r="C2217" s="3" t="str">
        <f>"TFC000001400"</f>
        <v>TFC000001400</v>
      </c>
      <c r="D2217" s="3" t="str">
        <f>"F400-20-1567-(AR 3.3)"</f>
        <v>F400-20-1567-(AR 3.3)</v>
      </c>
      <c r="E2217" s="3" t="str">
        <f>"(The)journey of a butterfly"</f>
        <v>(The)journey of a butterfly</v>
      </c>
      <c r="F2217" s="3" t="str">
        <f>"written and illustrated by Carolyn Scrace ; created and designed by David Salariya"</f>
        <v>written and illustrated by Carolyn Scrace ; created and designed by David Salariya</v>
      </c>
      <c r="G2217" s="3" t="str">
        <f>"Franklin Watts"</f>
        <v>Franklin Watts</v>
      </c>
      <c r="H2217" s="2" t="str">
        <f>"2000"</f>
        <v>2000</v>
      </c>
      <c r="I2217" s="3" t="str">
        <f>""</f>
        <v/>
      </c>
    </row>
    <row r="2218" spans="1:9" x14ac:dyDescent="0.3">
      <c r="A2218" s="2">
        <v>2217</v>
      </c>
      <c r="B2218" s="4" t="s">
        <v>34</v>
      </c>
      <c r="C2218" s="3" t="str">
        <f>"TFC000001401"</f>
        <v>TFC000001401</v>
      </c>
      <c r="D2218" s="3" t="str">
        <f>"F800-20-1569-(AR 3.3)"</f>
        <v>F800-20-1569-(AR 3.3)</v>
      </c>
      <c r="E2218" s="3" t="str">
        <f>"(The)berenstain bears and the big spelling bee"</f>
        <v>(The)berenstain bears and the big spelling bee</v>
      </c>
      <c r="F2218" s="3" t="str">
        <f>"Stan Berenstain, Jan Berenstain, Mike Berenstain"</f>
        <v>Stan Berenstain, Jan Berenstain, Mike Berenstain</v>
      </c>
      <c r="G2218" s="3" t="str">
        <f>"HarperFestival"</f>
        <v>HarperFestival</v>
      </c>
      <c r="H2218" s="2" t="str">
        <f>"2007"</f>
        <v>2007</v>
      </c>
      <c r="I2218" s="3" t="str">
        <f>""</f>
        <v/>
      </c>
    </row>
    <row r="2219" spans="1:9" x14ac:dyDescent="0.3">
      <c r="A2219" s="2">
        <v>2218</v>
      </c>
      <c r="B2219" s="4" t="s">
        <v>34</v>
      </c>
      <c r="C2219" s="3" t="str">
        <f>"TFC000001402"</f>
        <v>TFC000001402</v>
      </c>
      <c r="D2219" s="3" t="str">
        <f>"F800-20-1570-(AR 3.3)"</f>
        <v>F800-20-1570-(AR 3.3)</v>
      </c>
      <c r="E2219" s="3" t="str">
        <f>"(The)berenstain bears' really big pet show"</f>
        <v>(The)berenstain bears' really big pet show</v>
      </c>
      <c r="F2219" s="3" t="str">
        <f>"Jan Berenstain, Mike Berenstain"</f>
        <v>Jan Berenstain, Mike Berenstain</v>
      </c>
      <c r="G2219" s="3" t="str">
        <f>"HarperFestival"</f>
        <v>HarperFestival</v>
      </c>
      <c r="H2219" s="2" t="str">
        <f>"2008"</f>
        <v>2008</v>
      </c>
      <c r="I2219" s="3" t="str">
        <f>""</f>
        <v/>
      </c>
    </row>
    <row r="2220" spans="1:9" x14ac:dyDescent="0.3">
      <c r="A2220" s="2">
        <v>2219</v>
      </c>
      <c r="B2220" s="4" t="s">
        <v>34</v>
      </c>
      <c r="C2220" s="3" t="str">
        <f>"TFC000001403"</f>
        <v>TFC000001403</v>
      </c>
      <c r="D2220" s="3" t="str">
        <f>"F800-20-1571-(AR 3.3)"</f>
        <v>F800-20-1571-(AR 3.3)</v>
      </c>
      <c r="E2220" s="3" t="str">
        <f>"More than anything else"</f>
        <v>More than anything else</v>
      </c>
      <c r="F2220" s="3" t="str">
        <f>"story by Marie Bradby ; pictures by Chris K. Soentpiet"</f>
        <v>story by Marie Bradby ; pictures by Chris K. Soentpiet</v>
      </c>
      <c r="G2220" s="3" t="str">
        <f>"Orchard Books"</f>
        <v>Orchard Books</v>
      </c>
      <c r="H2220" s="2" t="str">
        <f>"1995"</f>
        <v>1995</v>
      </c>
      <c r="I2220" s="3" t="str">
        <f>""</f>
        <v/>
      </c>
    </row>
    <row r="2221" spans="1:9" x14ac:dyDescent="0.3">
      <c r="A2221" s="2">
        <v>2220</v>
      </c>
      <c r="B2221" s="4" t="s">
        <v>34</v>
      </c>
      <c r="C2221" s="3" t="str">
        <f>"TFC000001404"</f>
        <v>TFC000001404</v>
      </c>
      <c r="D2221" s="3" t="str">
        <f>"F800-20-1572-(AR 3.3)"</f>
        <v>F800-20-1572-(AR 3.3)</v>
      </c>
      <c r="E2221" s="3" t="str">
        <f>"Stone soup : an old tale"</f>
        <v>Stone soup : an old tale</v>
      </c>
      <c r="F2221" s="3" t="str">
        <f>"told and pictured by Marcia Brown"</f>
        <v>told and pictured by Marcia Brown</v>
      </c>
      <c r="G2221" s="3" t="str">
        <f>"Aladdin Paperbacks"</f>
        <v>Aladdin Paperbacks</v>
      </c>
      <c r="H2221" s="2" t="str">
        <f>"1997"</f>
        <v>1997</v>
      </c>
      <c r="I2221" s="3" t="str">
        <f>""</f>
        <v/>
      </c>
    </row>
    <row r="2222" spans="1:9" x14ac:dyDescent="0.3">
      <c r="A2222" s="2">
        <v>2221</v>
      </c>
      <c r="B2222" s="4" t="s">
        <v>34</v>
      </c>
      <c r="C2222" s="3" t="str">
        <f>"TFC000001405"</f>
        <v>TFC000001405</v>
      </c>
      <c r="D2222" s="3" t="str">
        <f>"F800-20-1573-(AR 3.3)"</f>
        <v>F800-20-1573-(AR 3.3)</v>
      </c>
      <c r="E2222" s="3" t="str">
        <f>"Nasty stinky sneakers"</f>
        <v>Nasty stinky sneakers</v>
      </c>
      <c r="F2222" s="3" t="str">
        <f>"Eve Bunting"</f>
        <v>Eve Bunting</v>
      </c>
      <c r="G2222" s="3" t="str">
        <f>"HarperTrophy"</f>
        <v>HarperTrophy</v>
      </c>
      <c r="H2222" s="2" t="str">
        <f>"1995"</f>
        <v>1995</v>
      </c>
      <c r="I2222" s="3" t="str">
        <f>""</f>
        <v/>
      </c>
    </row>
    <row r="2223" spans="1:9" x14ac:dyDescent="0.3">
      <c r="A2223" s="2">
        <v>2222</v>
      </c>
      <c r="B2223" s="4" t="s">
        <v>34</v>
      </c>
      <c r="C2223" s="3" t="str">
        <f>"TFC000001406"</f>
        <v>TFC000001406</v>
      </c>
      <c r="D2223" s="3" t="str">
        <f>"F800-20-1574-(AR 3.3)"</f>
        <v>F800-20-1574-(AR 3.3)</v>
      </c>
      <c r="E2223" s="3" t="str">
        <f>"Even steven and odd todd"</f>
        <v>Even steven and odd todd</v>
      </c>
      <c r="F2223" s="3" t="str">
        <f>"by Kathryn Cristaldi ; illustrated by Henry B. Morehouse"</f>
        <v>by Kathryn Cristaldi ; illustrated by Henry B. Morehouse</v>
      </c>
      <c r="G2223" s="3" t="str">
        <f>"Scholastic"</f>
        <v>Scholastic</v>
      </c>
      <c r="H2223" s="2" t="str">
        <f>"2008"</f>
        <v>2008</v>
      </c>
      <c r="I2223" s="3" t="str">
        <f>""</f>
        <v/>
      </c>
    </row>
    <row r="2224" spans="1:9" x14ac:dyDescent="0.3">
      <c r="A2224" s="2">
        <v>2223</v>
      </c>
      <c r="B2224" s="4" t="s">
        <v>34</v>
      </c>
      <c r="C2224" s="3" t="str">
        <f>"TFC000001408"</f>
        <v>TFC000001408</v>
      </c>
      <c r="D2224" s="3" t="str">
        <f>"F800-20-1576-(AR 3.3)"</f>
        <v>F800-20-1576-(AR 3.3)</v>
      </c>
      <c r="E2224" s="3" t="str">
        <f>"Greenish eggs and dinosaurs"</f>
        <v>Greenish eggs and dinosaurs</v>
      </c>
      <c r="F2224" s="3" t="str">
        <f>"by Dan Greenburg ; illustrated by Jack E. Davis"</f>
        <v>by Dan Greenburg ; illustrated by Jack E. Davis</v>
      </c>
      <c r="G2224" s="3" t="str">
        <f>"Grosset &amp; Dunlap"</f>
        <v>Grosset &amp; Dunlap</v>
      </c>
      <c r="H2224" s="2" t="str">
        <f>"2001"</f>
        <v>2001</v>
      </c>
      <c r="I2224" s="3" t="str">
        <f>""</f>
        <v/>
      </c>
    </row>
    <row r="2225" spans="1:9" x14ac:dyDescent="0.3">
      <c r="A2225" s="2">
        <v>2224</v>
      </c>
      <c r="B2225" s="4" t="s">
        <v>34</v>
      </c>
      <c r="C2225" s="3" t="str">
        <f>"TFC000001409"</f>
        <v>TFC000001409</v>
      </c>
      <c r="D2225" s="3" t="str">
        <f>"F800-20-1577-(AR 3.3)"</f>
        <v>F800-20-1577-(AR 3.3)</v>
      </c>
      <c r="E2225" s="3" t="str">
        <f>"(The)biggest Christmas tree ever"</f>
        <v>(The)biggest Christmas tree ever</v>
      </c>
      <c r="F2225" s="3" t="str">
        <f>"by Steven Kroll ; illustrated by Jeni Bassett"</f>
        <v>by Steven Kroll ; illustrated by Jeni Bassett</v>
      </c>
      <c r="G2225" s="3" t="str">
        <f>"Scholastic"</f>
        <v>Scholastic</v>
      </c>
      <c r="H2225" s="2" t="str">
        <f>"2009"</f>
        <v>2009</v>
      </c>
      <c r="I2225" s="3" t="str">
        <f>""</f>
        <v/>
      </c>
    </row>
    <row r="2226" spans="1:9" x14ac:dyDescent="0.3">
      <c r="A2226" s="2">
        <v>2225</v>
      </c>
      <c r="B2226" s="4" t="s">
        <v>34</v>
      </c>
      <c r="C2226" s="3" t="str">
        <f>"TFC000001410"</f>
        <v>TFC000001410</v>
      </c>
      <c r="D2226" s="3" t="str">
        <f>"F800-20-1578-(AR 3.3)"</f>
        <v>F800-20-1578-(AR 3.3)</v>
      </c>
      <c r="E2226" s="3" t="str">
        <f>"(The)three little pigs"</f>
        <v>(The)three little pigs</v>
      </c>
      <c r="F2226" s="3" t="str">
        <f>"retold and illustrated by James Marshall"</f>
        <v>retold and illustrated by James Marshall</v>
      </c>
      <c r="G2226" s="3" t="str">
        <f>"Grosset &amp; Dunla"</f>
        <v>Grosset &amp; Dunla</v>
      </c>
      <c r="H2226" s="2" t="str">
        <f>"2000"</f>
        <v>2000</v>
      </c>
      <c r="I2226" s="3" t="str">
        <f>""</f>
        <v/>
      </c>
    </row>
    <row r="2227" spans="1:9" x14ac:dyDescent="0.3">
      <c r="A2227" s="2">
        <v>2226</v>
      </c>
      <c r="B2227" s="4" t="s">
        <v>34</v>
      </c>
      <c r="C2227" s="3" t="str">
        <f>"TFC000001411"</f>
        <v>TFC000001411</v>
      </c>
      <c r="D2227" s="3" t="str">
        <f>"F800-20-1579-(AR 3.3)"</f>
        <v>F800-20-1579-(AR 3.3)</v>
      </c>
      <c r="E2227" s="3" t="str">
        <f>"Zin! zin! zin! a violin"</f>
        <v>Zin! zin! zin! a violin</v>
      </c>
      <c r="F2227" s="3" t="str">
        <f>"by Lloyd Moss ; illustrated by Marjorie Priceman"</f>
        <v>by Lloyd Moss ; illustrated by Marjorie Priceman</v>
      </c>
      <c r="G2227" s="3" t="str">
        <f>"Aladdin Paperbacks"</f>
        <v>Aladdin Paperbacks</v>
      </c>
      <c r="H2227" s="2" t="str">
        <f>"2000"</f>
        <v>2000</v>
      </c>
      <c r="I2227" s="3" t="str">
        <f>""</f>
        <v/>
      </c>
    </row>
    <row r="2228" spans="1:9" x14ac:dyDescent="0.3">
      <c r="A2228" s="2">
        <v>2227</v>
      </c>
      <c r="B2228" s="4" t="s">
        <v>34</v>
      </c>
      <c r="C2228" s="3" t="str">
        <f>"TFC000001412"</f>
        <v>TFC000001412</v>
      </c>
      <c r="D2228" s="3" t="str">
        <f>"F800-20-1580-(AR 3.3)"</f>
        <v>F800-20-1580-(AR 3.3)</v>
      </c>
      <c r="E2228" s="3" t="str">
        <f>"I have a sister, my sister is deaf"</f>
        <v>I have a sister, my sister is deaf</v>
      </c>
      <c r="F2228" s="3" t="str">
        <f>"by Jeanne Whitehouse Peterson ; pictures by Deborah Kogan Ray"</f>
        <v>by Jeanne Whitehouse Peterson ; pictures by Deborah Kogan Ray</v>
      </c>
      <c r="G2228" s="3" t="str">
        <f>"HarperCollins Publishers"</f>
        <v>HarperCollins Publishers</v>
      </c>
      <c r="H2228" s="2" t="str">
        <f>"1977"</f>
        <v>1977</v>
      </c>
      <c r="I2228" s="3" t="str">
        <f>""</f>
        <v/>
      </c>
    </row>
    <row r="2229" spans="1:9" x14ac:dyDescent="0.3">
      <c r="A2229" s="2">
        <v>2228</v>
      </c>
      <c r="B2229" s="4" t="s">
        <v>34</v>
      </c>
      <c r="C2229" s="3" t="str">
        <f>"TFC000001413"</f>
        <v>TFC000001413</v>
      </c>
      <c r="D2229" s="3" t="str">
        <f>"F800-20-1581-(AR 3.3)"</f>
        <v>F800-20-1581-(AR 3.3)</v>
      </c>
      <c r="E2229" s="3" t="str">
        <f>"(The)littles"</f>
        <v>(The)littles</v>
      </c>
      <c r="F2229" s="3" t="str">
        <f>"by John Peterson ; interior illustrations by Roberta Carter Clark"</f>
        <v>by John Peterson ; interior illustrations by Roberta Carter Clark</v>
      </c>
      <c r="G2229" s="3" t="str">
        <f>"Scholastic"</f>
        <v>Scholastic</v>
      </c>
      <c r="H2229" s="2" t="str">
        <f>"2019"</f>
        <v>2019</v>
      </c>
      <c r="I2229" s="3" t="str">
        <f>""</f>
        <v/>
      </c>
    </row>
    <row r="2230" spans="1:9" x14ac:dyDescent="0.3">
      <c r="A2230" s="2">
        <v>2229</v>
      </c>
      <c r="B2230" s="4" t="s">
        <v>34</v>
      </c>
      <c r="C2230" s="3" t="str">
        <f>"TFC000001414"</f>
        <v>TFC000001414</v>
      </c>
      <c r="D2230" s="3" t="str">
        <f>"F800-20-1582-(AR 3.3)"</f>
        <v>F800-20-1582-(AR 3.3)</v>
      </c>
      <c r="E2230" s="3" t="str">
        <f>"Alphabet rescue"</f>
        <v>Alphabet rescue</v>
      </c>
      <c r="F2230" s="3" t="str">
        <f>"by Audrey Wood ; illustrated by Bruce Wood"</f>
        <v>by Audrey Wood ; illustrated by Bruce Wood</v>
      </c>
      <c r="G2230" s="3" t="str">
        <f>"Scholastic"</f>
        <v>Scholastic</v>
      </c>
      <c r="H2230" s="2" t="str">
        <f>"2006"</f>
        <v>2006</v>
      </c>
      <c r="I2230" s="3" t="str">
        <f>""</f>
        <v/>
      </c>
    </row>
    <row r="2231" spans="1:9" x14ac:dyDescent="0.3">
      <c r="A2231" s="2">
        <v>2230</v>
      </c>
      <c r="B2231" s="4" t="s">
        <v>34</v>
      </c>
      <c r="C2231" s="3" t="str">
        <f>"TFC000001415"</f>
        <v>TFC000001415</v>
      </c>
      <c r="D2231" s="3" t="str">
        <f>"F800-20-1583-(AR 3.3)"</f>
        <v>F800-20-1583-(AR 3.3)</v>
      </c>
      <c r="E2231" s="3" t="str">
        <f>"(The)first day of school mystery"</f>
        <v>(The)first day of school mystery</v>
      </c>
      <c r="F2231" s="3" t="str">
        <f>"by David A. Adler ; illustrated by Susanna Natti"</f>
        <v>by David A. Adler ; illustrated by Susanna Natti</v>
      </c>
      <c r="G2231" s="3" t="str">
        <f>"Puffin Books"</f>
        <v>Puffin Books</v>
      </c>
      <c r="H2231" s="2" t="str">
        <f>"2011"</f>
        <v>2011</v>
      </c>
      <c r="I2231" s="3" t="str">
        <f>""</f>
        <v/>
      </c>
    </row>
    <row r="2232" spans="1:9" x14ac:dyDescent="0.3">
      <c r="A2232" s="2">
        <v>2231</v>
      </c>
      <c r="B2232" s="4" t="s">
        <v>34</v>
      </c>
      <c r="C2232" s="3" t="str">
        <f>"TFC000001416"</f>
        <v>TFC000001416</v>
      </c>
      <c r="D2232" s="3" t="str">
        <f>"F800-20-1584-(AR 3.3)"</f>
        <v>F800-20-1584-(AR 3.3)</v>
      </c>
      <c r="E2232" s="3" t="str">
        <f>"(The)tennis trophy mystery"</f>
        <v>(The)tennis trophy mystery</v>
      </c>
      <c r="F2232" s="3" t="str">
        <f>"by David A. Adler ; illustrated by Susanna Natti"</f>
        <v>by David A. Adler ; illustrated by Susanna Natti</v>
      </c>
      <c r="G2232" s="3" t="str">
        <f>"Puffin Books"</f>
        <v>Puffin Books</v>
      </c>
      <c r="H2232" s="2" t="str">
        <f>"2011"</f>
        <v>2011</v>
      </c>
      <c r="I2232" s="3" t="str">
        <f>""</f>
        <v/>
      </c>
    </row>
    <row r="2233" spans="1:9" x14ac:dyDescent="0.3">
      <c r="A2233" s="2">
        <v>2232</v>
      </c>
      <c r="B2233" s="4" t="s">
        <v>34</v>
      </c>
      <c r="C2233" s="3" t="str">
        <f>"TFC000001417"</f>
        <v>TFC000001417</v>
      </c>
      <c r="D2233" s="3" t="str">
        <f>"F800-20-1585-(AR 3.3)"</f>
        <v>F800-20-1585-(AR 3.3)</v>
      </c>
      <c r="E2233" s="3" t="str">
        <f>"Be brave, little penguin"</f>
        <v>Be brave, little penguin</v>
      </c>
      <c r="F2233" s="3" t="str">
        <f>"by Giles Andreae ; illustrated by Guy Parker-Rees"</f>
        <v>by Giles Andreae ; illustrated by Guy Parker-Rees</v>
      </c>
      <c r="G2233" s="3" t="str">
        <f>"Orchard Books"</f>
        <v>Orchard Books</v>
      </c>
      <c r="H2233" s="2" t="str">
        <f>"2018"</f>
        <v>2018</v>
      </c>
      <c r="I2233" s="3" t="str">
        <f>""</f>
        <v/>
      </c>
    </row>
    <row r="2234" spans="1:9" x14ac:dyDescent="0.3">
      <c r="A2234" s="2">
        <v>2233</v>
      </c>
      <c r="B2234" s="4" t="s">
        <v>34</v>
      </c>
      <c r="C2234" s="3" t="str">
        <f>"TFC000001418"</f>
        <v>TFC000001418</v>
      </c>
      <c r="D2234" s="3" t="str">
        <f>"F800-20-1586-(AR 3.3)"</f>
        <v>F800-20-1586-(AR 3.3)</v>
      </c>
      <c r="E2234" s="3" t="str">
        <f>"Have pen, will travel"</f>
        <v>Have pen, will travel</v>
      </c>
      <c r="F2234" s="3" t="str">
        <f>"written and illustrated by Ruth McNally Barshaw"</f>
        <v>written and illustrated by Ruth McNally Barshaw</v>
      </c>
      <c r="G2234" s="3" t="str">
        <f>"Bloomsbury"</f>
        <v>Bloomsbury</v>
      </c>
      <c r="H2234" s="2" t="str">
        <f>"2013"</f>
        <v>2013</v>
      </c>
      <c r="I2234" s="3" t="str">
        <f>""</f>
        <v/>
      </c>
    </row>
    <row r="2235" spans="1:9" x14ac:dyDescent="0.3">
      <c r="A2235" s="2">
        <v>2234</v>
      </c>
      <c r="B2235" s="4" t="s">
        <v>34</v>
      </c>
      <c r="C2235" s="3" t="str">
        <f>"TFC000001419"</f>
        <v>TFC000001419</v>
      </c>
      <c r="D2235" s="3" t="str">
        <f>"F800-20-1587-(AR 3.3)"</f>
        <v>F800-20-1587-(AR 3.3)</v>
      </c>
      <c r="E2235" s="3" t="str">
        <f>"Peppe the Lamplighter"</f>
        <v>Peppe the Lamplighter</v>
      </c>
      <c r="F2235" s="3" t="str">
        <f>"by Elisa Bartone ; illustrated by Ted Lewin"</f>
        <v>by Elisa Bartone ; illustrated by Ted Lewin</v>
      </c>
      <c r="G2235" s="3" t="str">
        <f>"HarperCollins Publishers"</f>
        <v>HarperCollins Publishers</v>
      </c>
      <c r="H2235" s="2" t="str">
        <f>"2002"</f>
        <v>2002</v>
      </c>
      <c r="I2235" s="3" t="str">
        <f>""</f>
        <v/>
      </c>
    </row>
    <row r="2236" spans="1:9" x14ac:dyDescent="0.3">
      <c r="A2236" s="2">
        <v>2235</v>
      </c>
      <c r="B2236" s="4" t="s">
        <v>34</v>
      </c>
      <c r="C2236" s="3" t="str">
        <f>"TFC000001420"</f>
        <v>TFC000001420</v>
      </c>
      <c r="D2236" s="3" t="str">
        <f>"F800-20-1588-(AR 3.3)"</f>
        <v>F800-20-1588-(AR 3.3)</v>
      </c>
      <c r="E2236" s="3" t="str">
        <f>"(A)library book for Bear"</f>
        <v>(A)library book for Bear</v>
      </c>
      <c r="F2236" s="3" t="str">
        <f>"Bonny Becker, illustrated by Kady MacDonald Denton"</f>
        <v>Bonny Becker, illustrated by Kady MacDonald Denton</v>
      </c>
      <c r="G2236" s="3" t="str">
        <f>"Candlewick Press"</f>
        <v>Candlewick Press</v>
      </c>
      <c r="H2236" s="2" t="str">
        <f>"2014"</f>
        <v>2014</v>
      </c>
      <c r="I2236" s="3" t="str">
        <f>""</f>
        <v/>
      </c>
    </row>
    <row r="2237" spans="1:9" x14ac:dyDescent="0.3">
      <c r="A2237" s="2">
        <v>2236</v>
      </c>
      <c r="B2237" s="4" t="s">
        <v>34</v>
      </c>
      <c r="C2237" s="3" t="str">
        <f>"TFC000001421"</f>
        <v>TFC000001421</v>
      </c>
      <c r="D2237" s="3" t="str">
        <f>"F800-20-1589-(AR 3.3)"</f>
        <v>F800-20-1589-(AR 3.3)</v>
      </c>
      <c r="E2237" s="3" t="str">
        <f>"Fudge-a-mania"</f>
        <v>Fudge-a-mania</v>
      </c>
      <c r="F2237" s="3" t="str">
        <f>"Judy Blume"</f>
        <v>Judy Blume</v>
      </c>
      <c r="G2237" s="3" t="str">
        <f>"Puffin Books"</f>
        <v>Puffin Books</v>
      </c>
      <c r="H2237" s="2" t="str">
        <f>"2007"</f>
        <v>2007</v>
      </c>
      <c r="I2237" s="3" t="str">
        <f>""</f>
        <v/>
      </c>
    </row>
    <row r="2238" spans="1:9" x14ac:dyDescent="0.3">
      <c r="A2238" s="2">
        <v>2237</v>
      </c>
      <c r="B2238" s="4" t="s">
        <v>34</v>
      </c>
      <c r="C2238" s="3" t="str">
        <f>"TFC000001422"</f>
        <v>TFC000001422</v>
      </c>
      <c r="D2238" s="3" t="str">
        <f>"F800-20-1590-(AR 3.3)"</f>
        <v>F800-20-1590-(AR 3.3)</v>
      </c>
      <c r="E2238" s="3" t="str">
        <f>"Tales of a fourth grade nothing"</f>
        <v>Tales of a fourth grade nothing</v>
      </c>
      <c r="F2238" s="3" t="str">
        <f>"by Judy Blume"</f>
        <v>by Judy Blume</v>
      </c>
      <c r="G2238" s="3" t="str">
        <f>"Puffin Books"</f>
        <v>Puffin Books</v>
      </c>
      <c r="H2238" s="2" t="str">
        <f>"2007"</f>
        <v>2007</v>
      </c>
      <c r="I2238" s="3" t="str">
        <f>""</f>
        <v/>
      </c>
    </row>
    <row r="2239" spans="1:9" x14ac:dyDescent="0.3">
      <c r="A2239" s="2">
        <v>2238</v>
      </c>
      <c r="B2239" s="4" t="s">
        <v>34</v>
      </c>
      <c r="C2239" s="3" t="str">
        <f>"TFC000001423"</f>
        <v>TFC000001423</v>
      </c>
      <c r="D2239" s="3" t="str">
        <f>"F800-20-1591-(AR 3.3)"</f>
        <v>F800-20-1591-(AR 3.3)</v>
      </c>
      <c r="E2239" s="3" t="str">
        <f>"Jane Eyre"</f>
        <v>Jane Eyre</v>
      </c>
      <c r="F2239" s="3" t="str">
        <f>"Charlotte Bronte ; introduction by Erica Jong ; New Afterword by Marcelle Clements"</f>
        <v>Charlotte Bronte ; introduction by Erica Jong ; New Afterword by Marcelle Clements</v>
      </c>
      <c r="G2239" s="3" t="str">
        <f>"Signet Classics"</f>
        <v>Signet Classics</v>
      </c>
      <c r="H2239" s="2" t="str">
        <f>"2008"</f>
        <v>2008</v>
      </c>
      <c r="I2239" s="3" t="str">
        <f>""</f>
        <v/>
      </c>
    </row>
    <row r="2240" spans="1:9" x14ac:dyDescent="0.3">
      <c r="A2240" s="2">
        <v>2239</v>
      </c>
      <c r="B2240" s="4" t="s">
        <v>34</v>
      </c>
      <c r="C2240" s="3" t="str">
        <f>"TFC000001424"</f>
        <v>TFC000001424</v>
      </c>
      <c r="D2240" s="3" t="str">
        <f>"F800-20-1592-(AR 3.3)"</f>
        <v>F800-20-1592-(AR 3.3)</v>
      </c>
      <c r="E2240" s="3" t="str">
        <f>"Invisible Stanley"</f>
        <v>Invisible Stanley</v>
      </c>
      <c r="F2240" s="3" t="str">
        <f>"by Jeff Brown ; pictures by Macky Pamintuan"</f>
        <v>by Jeff Brown ; pictures by Macky Pamintuan</v>
      </c>
      <c r="G2240" s="3" t="str">
        <f>"Harper"</f>
        <v>Harper</v>
      </c>
      <c r="H2240" s="2" t="str">
        <f>"2009"</f>
        <v>2009</v>
      </c>
      <c r="I2240" s="3" t="str">
        <f>""</f>
        <v/>
      </c>
    </row>
    <row r="2241" spans="1:9" x14ac:dyDescent="0.3">
      <c r="A2241" s="2">
        <v>2240</v>
      </c>
      <c r="B2241" s="4" t="s">
        <v>34</v>
      </c>
      <c r="C2241" s="3" t="str">
        <f>"TFC000001425"</f>
        <v>TFC000001425</v>
      </c>
      <c r="D2241" s="3" t="str">
        <f>"F800-20-1593-(AR 3.3)"</f>
        <v>F800-20-1593-(AR 3.3)</v>
      </c>
      <c r="E2241" s="3" t="str">
        <f>"Stanley, flat again!"</f>
        <v>Stanley, flat again!</v>
      </c>
      <c r="F2241" s="3" t="str">
        <f>"by Jeff Brown ; pictures by Macky Pamintuan"</f>
        <v>by Jeff Brown ; pictures by Macky Pamintuan</v>
      </c>
      <c r="G2241" s="3" t="str">
        <f>"Harper"</f>
        <v>Harper</v>
      </c>
      <c r="H2241" s="2" t="str">
        <f>"2009"</f>
        <v>2009</v>
      </c>
      <c r="I2241" s="3" t="str">
        <f>""</f>
        <v/>
      </c>
    </row>
    <row r="2242" spans="1:9" x14ac:dyDescent="0.3">
      <c r="A2242" s="2">
        <v>2241</v>
      </c>
      <c r="B2242" s="4" t="s">
        <v>34</v>
      </c>
      <c r="C2242" s="3" t="str">
        <f>"TFC000001426"</f>
        <v>TFC000001426</v>
      </c>
      <c r="D2242" s="3" t="str">
        <f>"F800-20-1594-(AR 3.3)"</f>
        <v>F800-20-1594-(AR 3.3)</v>
      </c>
      <c r="E2242" s="3" t="str">
        <f>"Eerie elementary. 2, the locker ate Lucy!"</f>
        <v>Eerie elementary. 2, the locker ate Lucy!</v>
      </c>
      <c r="F2242" s="3" t="str">
        <f>"by Jack Chabert ; illustrated by Sam Ricks"</f>
        <v>by Jack Chabert ; illustrated by Sam Ricks</v>
      </c>
      <c r="G2242" s="3" t="str">
        <f>"Scholastic"</f>
        <v>Scholastic</v>
      </c>
      <c r="H2242" s="2" t="str">
        <f>"2014"</f>
        <v>2014</v>
      </c>
      <c r="I2242" s="3" t="str">
        <f>""</f>
        <v/>
      </c>
    </row>
    <row r="2243" spans="1:9" x14ac:dyDescent="0.3">
      <c r="A2243" s="2">
        <v>2242</v>
      </c>
      <c r="B2243" s="4" t="s">
        <v>34</v>
      </c>
      <c r="C2243" s="3" t="str">
        <f>"TFC000001427"</f>
        <v>TFC000001427</v>
      </c>
      <c r="D2243" s="3" t="str">
        <f>"F800-20-1595-(AR 3.3)"</f>
        <v>F800-20-1595-(AR 3.3)</v>
      </c>
      <c r="E2243" s="3" t="str">
        <f>"Eerie elementary. 3, recess is a jungle!"</f>
        <v>Eerie elementary. 3, recess is a jungle!</v>
      </c>
      <c r="F2243" s="3" t="str">
        <f>"by Jack Chabert ; illustrated by Sam Ricks"</f>
        <v>by Jack Chabert ; illustrated by Sam Ricks</v>
      </c>
      <c r="G2243" s="3" t="str">
        <f>"Scholastic"</f>
        <v>Scholastic</v>
      </c>
      <c r="H2243" s="2" t="str">
        <f>"2016"</f>
        <v>2016</v>
      </c>
      <c r="I2243" s="3" t="str">
        <f>""</f>
        <v/>
      </c>
    </row>
    <row r="2244" spans="1:9" x14ac:dyDescent="0.3">
      <c r="A2244" s="2">
        <v>2243</v>
      </c>
      <c r="B2244" s="4" t="s">
        <v>34</v>
      </c>
      <c r="C2244" s="3" t="str">
        <f>"TFC000001428"</f>
        <v>TFC000001428</v>
      </c>
      <c r="D2244" s="3" t="str">
        <f>"F800-20-1596-(AR 3.3)"</f>
        <v>F800-20-1596-(AR 3.3)</v>
      </c>
      <c r="E2244" s="3" t="str">
        <f>"(A)fine, fine school"</f>
        <v>(A)fine, fine school</v>
      </c>
      <c r="F2244" s="3" t="str">
        <f>"by Sharon Creech ; pictures by Harry Bliss"</f>
        <v>by Sharon Creech ; pictures by Harry Bliss</v>
      </c>
      <c r="G2244" s="3" t="str">
        <f>"Joanna Cotler Books"</f>
        <v>Joanna Cotler Books</v>
      </c>
      <c r="H2244" s="2" t="str">
        <f>"2001"</f>
        <v>2001</v>
      </c>
      <c r="I2244" s="3" t="str">
        <f>""</f>
        <v/>
      </c>
    </row>
    <row r="2245" spans="1:9" x14ac:dyDescent="0.3">
      <c r="A2245" s="2">
        <v>2244</v>
      </c>
      <c r="B2245" s="4" t="s">
        <v>34</v>
      </c>
      <c r="C2245" s="3" t="str">
        <f>"TFC000001429"</f>
        <v>TFC000001429</v>
      </c>
      <c r="D2245" s="3" t="str">
        <f>"F800-20-1597-(AR 3.3)"</f>
        <v>F800-20-1597-(AR 3.3)</v>
      </c>
      <c r="E2245" s="3" t="str">
        <f>"Ali baba and the forty thieves"</f>
        <v>Ali baba and the forty thieves</v>
      </c>
      <c r="F2245" s="3" t="str">
        <f>"retold by Katie Daynes ; illustrated by Paddy Mounter"</f>
        <v>retold by Katie Daynes ; illustrated by Paddy Mounter</v>
      </c>
      <c r="G2245" s="3" t="str">
        <f>"Usborne"</f>
        <v>Usborne</v>
      </c>
      <c r="H2245" s="2" t="str">
        <f>"2007"</f>
        <v>2007</v>
      </c>
      <c r="I2245" s="3" t="str">
        <f>""</f>
        <v/>
      </c>
    </row>
    <row r="2246" spans="1:9" x14ac:dyDescent="0.3">
      <c r="A2246" s="2">
        <v>2245</v>
      </c>
      <c r="B2246" s="4" t="s">
        <v>34</v>
      </c>
      <c r="C2246" s="3" t="str">
        <f>"TFC000001430"</f>
        <v>TFC000001430</v>
      </c>
      <c r="D2246" s="3" t="str">
        <f>"F800-20-1598-(AR 3.3)"</f>
        <v>F800-20-1598-(AR 3.3)</v>
      </c>
      <c r="E2246" s="3" t="str">
        <f>"(The)pout-pout fish cleans up the ocean"</f>
        <v>(The)pout-pout fish cleans up the ocean</v>
      </c>
      <c r="F2246" s="3" t="str">
        <f>"Deborah Diesen ; pictures by Dan Hanna"</f>
        <v>Deborah Diesen ; pictures by Dan Hanna</v>
      </c>
      <c r="G2246" s="3" t="str">
        <f>"Farrar Straus Giroux"</f>
        <v>Farrar Straus Giroux</v>
      </c>
      <c r="H2246" s="2" t="str">
        <f>"2019"</f>
        <v>2019</v>
      </c>
      <c r="I2246" s="3" t="str">
        <f>""</f>
        <v/>
      </c>
    </row>
    <row r="2247" spans="1:9" x14ac:dyDescent="0.3">
      <c r="A2247" s="2">
        <v>2246</v>
      </c>
      <c r="B2247" s="4" t="s">
        <v>34</v>
      </c>
      <c r="C2247" s="3" t="str">
        <f>"TFC000001431"</f>
        <v>TFC000001431</v>
      </c>
      <c r="D2247" s="3" t="str">
        <f>"F800-20-1599-(AR 3.3)"</f>
        <v>F800-20-1599-(AR 3.3)</v>
      </c>
      <c r="E2247" s="3" t="str">
        <f>"Secret identity"</f>
        <v>Secret identity</v>
      </c>
      <c r="F2247" s="3" t="str">
        <f>"by Wendelin Van Draanen ; illustrated by Brian Biggs"</f>
        <v>by Wendelin Van Draanen ; illustrated by Brian Biggs</v>
      </c>
      <c r="G2247" s="3" t="str">
        <f>"Yearling Book"</f>
        <v>Yearling Book</v>
      </c>
      <c r="H2247" s="2" t="str">
        <f>"2006"</f>
        <v>2006</v>
      </c>
      <c r="I2247" s="3" t="str">
        <f>""</f>
        <v/>
      </c>
    </row>
    <row r="2248" spans="1:9" x14ac:dyDescent="0.3">
      <c r="A2248" s="2">
        <v>2247</v>
      </c>
      <c r="B2248" s="4" t="s">
        <v>34</v>
      </c>
      <c r="C2248" s="3" t="str">
        <f>"TFC000001433"</f>
        <v>TFC000001433</v>
      </c>
      <c r="D2248" s="3" t="str">
        <f>"F800-20-1601-(AR 3.3)"</f>
        <v>F800-20-1601-(AR 3.3)</v>
      </c>
      <c r="E2248" s="3" t="str">
        <f>"Chrysanthemum"</f>
        <v>Chrysanthemum</v>
      </c>
      <c r="F2248" s="3" t="str">
        <f>"by Kevin Henkes"</f>
        <v>by Kevin Henkes</v>
      </c>
      <c r="G2248" s="3" t="str">
        <f>"Greenwillow Books"</f>
        <v>Greenwillow Books</v>
      </c>
      <c r="H2248" s="2" t="str">
        <f>"1991"</f>
        <v>1991</v>
      </c>
      <c r="I2248" s="3" t="str">
        <f>""</f>
        <v/>
      </c>
    </row>
    <row r="2249" spans="1:9" x14ac:dyDescent="0.3">
      <c r="A2249" s="2">
        <v>2248</v>
      </c>
      <c r="B2249" s="4" t="s">
        <v>34</v>
      </c>
      <c r="C2249" s="3" t="str">
        <f>"TFC000001434"</f>
        <v>TFC000001434</v>
      </c>
      <c r="D2249" s="3" t="str">
        <f>"F800-20-1602-(AR 3.3)"</f>
        <v>F800-20-1602-(AR 3.3)</v>
      </c>
      <c r="E2249" s="3" t="str">
        <f>"Charley's first night"</f>
        <v>Charley's first night</v>
      </c>
      <c r="F2249" s="3" t="str">
        <f>"Amy Hest ; illuatrated by Helen Oxenbury"</f>
        <v>Amy Hest ; illuatrated by Helen Oxenbury</v>
      </c>
      <c r="G2249" s="3" t="str">
        <f>"Walker Books"</f>
        <v>Walker Books</v>
      </c>
      <c r="H2249" s="2" t="str">
        <f>"2013"</f>
        <v>2013</v>
      </c>
      <c r="I2249" s="3" t="str">
        <f>""</f>
        <v/>
      </c>
    </row>
    <row r="2250" spans="1:9" x14ac:dyDescent="0.3">
      <c r="A2250" s="2">
        <v>2249</v>
      </c>
      <c r="B2250" s="4" t="s">
        <v>34</v>
      </c>
      <c r="C2250" s="3" t="str">
        <f>"TFC000001435"</f>
        <v>TFC000001435</v>
      </c>
      <c r="D2250" s="3" t="str">
        <f>"F800-20-1603-(AR 3.3)"</f>
        <v>F800-20-1603-(AR 3.3)</v>
      </c>
      <c r="E2250" s="3" t="str">
        <f>"Flat Stanley at bat"</f>
        <v>Flat Stanley at bat</v>
      </c>
      <c r="F2250" s="3" t="str">
        <f>"by Lori Haskins Houran ; pictures by Macky Pamintuan"</f>
        <v>by Lori Haskins Houran ; pictures by Macky Pamintuan</v>
      </c>
      <c r="G2250" s="3" t="str">
        <f>"Harper"</f>
        <v>Harper</v>
      </c>
      <c r="H2250" s="2" t="str">
        <f>"2012"</f>
        <v>2012</v>
      </c>
      <c r="I2250" s="3" t="str">
        <f>""</f>
        <v/>
      </c>
    </row>
    <row r="2251" spans="1:9" x14ac:dyDescent="0.3">
      <c r="A2251" s="2">
        <v>2250</v>
      </c>
      <c r="B2251" s="4" t="s">
        <v>34</v>
      </c>
      <c r="C2251" s="3" t="str">
        <f>"TFC000001437"</f>
        <v>TFC000001437</v>
      </c>
      <c r="D2251" s="3" t="str">
        <f>"F800-20-1605-(AR 3.3)"</f>
        <v>F800-20-1605-(AR 3.3)</v>
      </c>
      <c r="E2251" s="3" t="str">
        <f>"Andy Shane and the very bossy Dolores Starbuckle"</f>
        <v>Andy Shane and the very bossy Dolores Starbuckle</v>
      </c>
      <c r="F2251" s="3" t="str">
        <f>"Jennifer Richard Jacobson ; illustrated by Abby Carter"</f>
        <v>Jennifer Richard Jacobson ; illustrated by Abby Carter</v>
      </c>
      <c r="G2251" s="3" t="str">
        <f>"Candlewick Press"</f>
        <v>Candlewick Press</v>
      </c>
      <c r="H2251" s="2" t="str">
        <f>"2006"</f>
        <v>2006</v>
      </c>
      <c r="I2251" s="3" t="str">
        <f>""</f>
        <v/>
      </c>
    </row>
    <row r="2252" spans="1:9" x14ac:dyDescent="0.3">
      <c r="A2252" s="2">
        <v>2251</v>
      </c>
      <c r="B2252" s="4" t="s">
        <v>34</v>
      </c>
      <c r="C2252" s="3" t="str">
        <f>"TFC000001438"</f>
        <v>TFC000001438</v>
      </c>
      <c r="D2252" s="3" t="str">
        <f>"F800-20-1606-(AR 3.3)"</f>
        <v>F800-20-1606-(AR 3.3)</v>
      </c>
      <c r="E2252" s="3" t="str">
        <f>"Andy Shane is not in love"</f>
        <v>Andy Shane is not in love</v>
      </c>
      <c r="F2252" s="3" t="str">
        <f>"Jennifer Richard Jacobson ; illustrated by Abby Carter"</f>
        <v>Jennifer Richard Jacobson ; illustrated by Abby Carter</v>
      </c>
      <c r="G2252" s="3" t="str">
        <f>"Candlewick Press"</f>
        <v>Candlewick Press</v>
      </c>
      <c r="H2252" s="2" t="str">
        <f>"2009"</f>
        <v>2009</v>
      </c>
      <c r="I2252" s="3" t="str">
        <f>""</f>
        <v/>
      </c>
    </row>
    <row r="2253" spans="1:9" x14ac:dyDescent="0.3">
      <c r="A2253" s="2">
        <v>2252</v>
      </c>
      <c r="B2253" s="4" t="s">
        <v>34</v>
      </c>
      <c r="C2253" s="3" t="str">
        <f>"TFC000001439"</f>
        <v>TFC000001439</v>
      </c>
      <c r="D2253" s="3" t="str">
        <f>"F800-20-1607-(AR 3.3)"</f>
        <v>F800-20-1607-(AR 3.3)</v>
      </c>
      <c r="E2253" s="3" t="str">
        <f>"Tooth trouble"</f>
        <v>Tooth trouble</v>
      </c>
      <c r="F2253" s="3" t="str">
        <f>"by Abby Klein ; illustrated by John McKinley"</f>
        <v>by Abby Klein ; illustrated by John McKinley</v>
      </c>
      <c r="G2253" s="3" t="str">
        <f>"Scholastic"</f>
        <v>Scholastic</v>
      </c>
      <c r="H2253" s="2" t="str">
        <f>"2004"</f>
        <v>2004</v>
      </c>
      <c r="I2253" s="3" t="str">
        <f>""</f>
        <v/>
      </c>
    </row>
    <row r="2254" spans="1:9" x14ac:dyDescent="0.3">
      <c r="A2254" s="2">
        <v>2253</v>
      </c>
      <c r="B2254" s="4" t="s">
        <v>34</v>
      </c>
      <c r="C2254" s="3" t="str">
        <f>"TFC000001440"</f>
        <v>TFC000001440</v>
      </c>
      <c r="D2254" s="3" t="str">
        <f>"F800-20-1608-(AR 3.3)"</f>
        <v>F800-20-1608-(AR 3.3)</v>
      </c>
      <c r="E2254" s="3" t="str">
        <f>"Sun bread"</f>
        <v>Sun bread</v>
      </c>
      <c r="F2254" s="3" t="str">
        <f>"Elisa Kleven"</f>
        <v>Elisa Kleven</v>
      </c>
      <c r="G2254" s="3" t="str">
        <f>"Puffin"</f>
        <v>Puffin</v>
      </c>
      <c r="H2254" s="2" t="str">
        <f>"2004"</f>
        <v>2004</v>
      </c>
      <c r="I2254" s="3" t="str">
        <f>""</f>
        <v/>
      </c>
    </row>
    <row r="2255" spans="1:9" x14ac:dyDescent="0.3">
      <c r="A2255" s="2">
        <v>2254</v>
      </c>
      <c r="B2255" s="4" t="s">
        <v>34</v>
      </c>
      <c r="C2255" s="3" t="str">
        <f>"TFC000001441"</f>
        <v>TFC000001441</v>
      </c>
      <c r="D2255" s="3" t="str">
        <f>"F800-20-1609-(AR 3.3)"</f>
        <v>F800-20-1609-(AR 3.3)</v>
      </c>
      <c r="E2255" s="3" t="str">
        <f>"(The)sheep in wolf's clothing"</f>
        <v>(The)sheep in wolf's clothing</v>
      </c>
      <c r="F2255" s="3" t="str">
        <f>"Helen Lester ; illustrated by Lynn Munsinger"</f>
        <v>Helen Lester ; illustrated by Lynn Munsinger</v>
      </c>
      <c r="G2255" s="3" t="str">
        <f>"Houghton Mifflin Harcourt"</f>
        <v>Houghton Mifflin Harcourt</v>
      </c>
      <c r="H2255" s="2" t="str">
        <f>"2007"</f>
        <v>2007</v>
      </c>
      <c r="I2255" s="3" t="str">
        <f>""</f>
        <v/>
      </c>
    </row>
    <row r="2256" spans="1:9" x14ac:dyDescent="0.3">
      <c r="A2256" s="2">
        <v>2255</v>
      </c>
      <c r="B2256" s="4" t="s">
        <v>34</v>
      </c>
      <c r="C2256" s="3" t="str">
        <f>"TFC000001442"</f>
        <v>TFC000001442</v>
      </c>
      <c r="D2256" s="3" t="str">
        <f>"F800-20-1610-(AR 3.3)"</f>
        <v>F800-20-1610-(AR 3.3)</v>
      </c>
      <c r="E2256" s="3" t="str">
        <f>"Judy Moody. 7, around the world in 8 1/2 days"</f>
        <v>Judy Moody. 7, around the world in 8 1/2 days</v>
      </c>
      <c r="F2256" s="3" t="str">
        <f>"Megan McDonald ; illustrated by Peter H. Reynolds"</f>
        <v>Megan McDonald ; illustrated by Peter H. Reynolds</v>
      </c>
      <c r="G2256" s="3" t="str">
        <f>"Walker Books"</f>
        <v>Walker Books</v>
      </c>
      <c r="H2256" s="2" t="str">
        <f>"2010"</f>
        <v>2010</v>
      </c>
      <c r="I2256" s="3" t="str">
        <f>""</f>
        <v/>
      </c>
    </row>
    <row r="2257" spans="1:9" x14ac:dyDescent="0.3">
      <c r="A2257" s="2">
        <v>2256</v>
      </c>
      <c r="B2257" s="4" t="s">
        <v>34</v>
      </c>
      <c r="C2257" s="3" t="str">
        <f>"TFC000001443"</f>
        <v>TFC000001443</v>
      </c>
      <c r="D2257" s="3" t="str">
        <f>"F800-20-1611-(AR 3.3)"</f>
        <v>F800-20-1611-(AR 3.3)</v>
      </c>
      <c r="E2257" s="3" t="str">
        <f>"April Fools', Mr. Todd!"</f>
        <v>April Fools', Mr. Todd!</v>
      </c>
      <c r="F2257" s="3" t="str">
        <f>"Megan McDonald ; illustrated by Erwin Madrid ; based on the characters created by Peter H. Reynolds"</f>
        <v>Megan McDonald ; illustrated by Erwin Madrid ; based on the characters created by Peter H. Reynolds</v>
      </c>
      <c r="G2257" s="3" t="str">
        <f>"Candlewick Press"</f>
        <v>Candlewick Press</v>
      </c>
      <c r="H2257" s="2" t="str">
        <f>"2017"</f>
        <v>2017</v>
      </c>
      <c r="I2257" s="3" t="str">
        <f>""</f>
        <v/>
      </c>
    </row>
    <row r="2258" spans="1:9" x14ac:dyDescent="0.3">
      <c r="A2258" s="2">
        <v>2257</v>
      </c>
      <c r="B2258" s="4" t="s">
        <v>34</v>
      </c>
      <c r="C2258" s="3" t="str">
        <f>"TFC000001444"</f>
        <v>TFC000001444</v>
      </c>
      <c r="D2258" s="3" t="str">
        <f>"F800-20-1612-(AR 3.3)"</f>
        <v>F800-20-1612-(AR 3.3)</v>
      </c>
      <c r="E2258" s="3" t="str">
        <f>"Ruby the red fairy"</f>
        <v>Ruby the red fairy</v>
      </c>
      <c r="F2258" s="3" t="str">
        <f>"by Daisy Meadows ; illustrated by Georgie Ripper"</f>
        <v>by Daisy Meadows ; illustrated by Georgie Ripper</v>
      </c>
      <c r="G2258" s="3" t="str">
        <f>"Scholastic"</f>
        <v>Scholastic</v>
      </c>
      <c r="H2258" s="2" t="str">
        <f>"2003"</f>
        <v>2003</v>
      </c>
      <c r="I2258" s="3" t="str">
        <f>""</f>
        <v/>
      </c>
    </row>
    <row r="2259" spans="1:9" x14ac:dyDescent="0.3">
      <c r="A2259" s="2">
        <v>2258</v>
      </c>
      <c r="B2259" s="4" t="s">
        <v>34</v>
      </c>
      <c r="C2259" s="3" t="str">
        <f>"TFC000001445"</f>
        <v>TFC000001445</v>
      </c>
      <c r="D2259" s="3" t="str">
        <f>"F800-20-1613-(AR 3.3)"</f>
        <v>F800-20-1613-(AR 3.3)</v>
      </c>
      <c r="E2259" s="3" t="str">
        <f>"Spill the beans"</f>
        <v>Spill the beans</v>
      </c>
      <c r="F2259" s="3" t="str">
        <f>"Sarah Mlynowski"</f>
        <v>Sarah Mlynowski</v>
      </c>
      <c r="G2259" s="3" t="str">
        <f>"Scholastic Press"</f>
        <v>Scholastic Press</v>
      </c>
      <c r="H2259" s="2" t="str">
        <f>"2019"</f>
        <v>2019</v>
      </c>
      <c r="I2259" s="3" t="str">
        <f>""</f>
        <v/>
      </c>
    </row>
    <row r="2260" spans="1:9" x14ac:dyDescent="0.3">
      <c r="A2260" s="2">
        <v>2259</v>
      </c>
      <c r="B2260" s="4" t="s">
        <v>34</v>
      </c>
      <c r="C2260" s="3" t="str">
        <f>"TFC000001457"</f>
        <v>TFC000001457</v>
      </c>
      <c r="D2260" s="3" t="str">
        <f>"F800-20-1625-(AR 3.3)"</f>
        <v>F800-20-1625-(AR 3.3)</v>
      </c>
      <c r="E2260" s="3" t="str">
        <f>"Back of the bus"</f>
        <v>Back of the bus</v>
      </c>
      <c r="F2260" s="3" t="str">
        <f>"by Aaron Reynolds ; illustrated by Floyd Cooper"</f>
        <v>by Aaron Reynolds ; illustrated by Floyd Cooper</v>
      </c>
      <c r="G2260" s="3" t="str">
        <f>"Puffin Books"</f>
        <v>Puffin Books</v>
      </c>
      <c r="H2260" s="2" t="str">
        <f>"2013"</f>
        <v>2013</v>
      </c>
      <c r="I2260" s="3" t="str">
        <f>""</f>
        <v/>
      </c>
    </row>
    <row r="2261" spans="1:9" x14ac:dyDescent="0.3">
      <c r="A2261" s="2">
        <v>2260</v>
      </c>
      <c r="B2261" s="4" t="s">
        <v>34</v>
      </c>
      <c r="C2261" s="3" t="str">
        <f>"TFC000001458"</f>
        <v>TFC000001458</v>
      </c>
      <c r="D2261" s="3" t="str">
        <f>"F800-20-1626-(AR 3.3)"</f>
        <v>F800-20-1626-(AR 3.3)</v>
      </c>
      <c r="E2261" s="3" t="str">
        <f>"(The)falcon's feathers"</f>
        <v>(The)falcon's feathers</v>
      </c>
      <c r="F2261" s="3" t="str">
        <f>"by Ron Roy ; illustrated by John Steven Gurney"</f>
        <v>by Ron Roy ; illustrated by John Steven Gurney</v>
      </c>
      <c r="G2261" s="3" t="str">
        <f>"Random House"</f>
        <v>Random House</v>
      </c>
      <c r="H2261" s="2" t="str">
        <f>"2015"</f>
        <v>2015</v>
      </c>
      <c r="I2261" s="3" t="str">
        <f>""</f>
        <v/>
      </c>
    </row>
    <row r="2262" spans="1:9" x14ac:dyDescent="0.3">
      <c r="A2262" s="2">
        <v>2261</v>
      </c>
      <c r="B2262" s="4" t="s">
        <v>34</v>
      </c>
      <c r="C2262" s="3" t="str">
        <f>"TFC000001459"</f>
        <v>TFC000001459</v>
      </c>
      <c r="D2262" s="3" t="str">
        <f>"F800-20-1627-(AR 3.3)"</f>
        <v>F800-20-1627-(AR 3.3)</v>
      </c>
      <c r="E2262" s="3" t="str">
        <f>"(The)goose's gold"</f>
        <v>(The)goose's gold</v>
      </c>
      <c r="F2262" s="3" t="str">
        <f>"by Ron Roy ; illustrated by John Steven Gurney"</f>
        <v>by Ron Roy ; illustrated by John Steven Gurney</v>
      </c>
      <c r="G2262" s="3" t="str">
        <f>"Random House"</f>
        <v>Random House</v>
      </c>
      <c r="H2262" s="2" t="str">
        <f>"2015"</f>
        <v>2015</v>
      </c>
      <c r="I2262" s="3" t="str">
        <f>""</f>
        <v/>
      </c>
    </row>
    <row r="2263" spans="1:9" x14ac:dyDescent="0.3">
      <c r="A2263" s="2">
        <v>2262</v>
      </c>
      <c r="B2263" s="4" t="s">
        <v>34</v>
      </c>
      <c r="C2263" s="3" t="str">
        <f>"TFC000001460"</f>
        <v>TFC000001460</v>
      </c>
      <c r="D2263" s="3" t="str">
        <f>"F800-20-1628-(AR 3.3)"</f>
        <v>F800-20-1628-(AR 3.3)</v>
      </c>
      <c r="E2263" s="3" t="str">
        <f>"Sideways stories from Wayside school"</f>
        <v>Sideways stories from Wayside school</v>
      </c>
      <c r="F2263" s="3" t="str">
        <f>"Louis Sachar ; illustrated by Adam McCauley"</f>
        <v>Louis Sachar ; illustrated by Adam McCauley</v>
      </c>
      <c r="G2263" s="3" t="str">
        <f>"HarperTrophy"</f>
        <v>HarperTrophy</v>
      </c>
      <c r="H2263" s="2" t="str">
        <f>"2019"</f>
        <v>2019</v>
      </c>
      <c r="I2263" s="3" t="str">
        <f>""</f>
        <v/>
      </c>
    </row>
    <row r="2264" spans="1:9" x14ac:dyDescent="0.3">
      <c r="A2264" s="2">
        <v>2263</v>
      </c>
      <c r="B2264" s="4" t="s">
        <v>34</v>
      </c>
      <c r="C2264" s="3" t="str">
        <f>"TFC000001462"</f>
        <v>TFC000001462</v>
      </c>
      <c r="D2264" s="3" t="str">
        <f>"F800-20-1630-(AR 3.3)"</f>
        <v>F800-20-1630-(AR 3.3)</v>
      </c>
      <c r="E2264" s="3" t="str">
        <f>"Horrid Henry gets rich quick"</f>
        <v>Horrid Henry gets rich quick</v>
      </c>
      <c r="F2264" s="3" t="str">
        <f>"written by Francesca Simon ; illustrated by Tony Ross"</f>
        <v>written by Francesca Simon ; illustrated by Tony Ross</v>
      </c>
      <c r="G2264" s="3" t="str">
        <f>"Orion"</f>
        <v>Orion</v>
      </c>
      <c r="H2264" s="2" t="str">
        <f>"2008"</f>
        <v>2008</v>
      </c>
      <c r="I2264" s="3" t="str">
        <f>""</f>
        <v/>
      </c>
    </row>
    <row r="2265" spans="1:9" x14ac:dyDescent="0.3">
      <c r="A2265" s="2">
        <v>2264</v>
      </c>
      <c r="B2265" s="4" t="s">
        <v>34</v>
      </c>
      <c r="C2265" s="3" t="str">
        <f>"TFC000001463"</f>
        <v>TFC000001463</v>
      </c>
      <c r="D2265" s="3" t="str">
        <f>"F800-20-1631-(AR 3.3)"</f>
        <v>F800-20-1631-(AR 3.3)</v>
      </c>
      <c r="E2265" s="3" t="str">
        <f>"(The)library"</f>
        <v>(The)library</v>
      </c>
      <c r="F2265" s="3" t="str">
        <f>"by Sarah Stewart ; pictures by David Small"</f>
        <v>by Sarah Stewart ; pictures by David Small</v>
      </c>
      <c r="G2265" s="3" t="str">
        <f>"Square Fish"</f>
        <v>Square Fish</v>
      </c>
      <c r="H2265" s="2" t="str">
        <f>"2010"</f>
        <v>2010</v>
      </c>
      <c r="I2265" s="3" t="str">
        <f>""</f>
        <v/>
      </c>
    </row>
    <row r="2266" spans="1:9" x14ac:dyDescent="0.3">
      <c r="A2266" s="2">
        <v>2265</v>
      </c>
      <c r="B2266" s="4" t="s">
        <v>34</v>
      </c>
      <c r="C2266" s="3" t="str">
        <f>"TFC000001464"</f>
        <v>TFC000001464</v>
      </c>
      <c r="D2266" s="3" t="str">
        <f>"F800-20-1632-(AR 3.3)"</f>
        <v>F800-20-1632-(AR 3.3)</v>
      </c>
      <c r="E2266" s="3" t="str">
        <f>"Raise your hand"</f>
        <v>Raise your hand</v>
      </c>
      <c r="F2266" s="3" t="str">
        <f>"by Alice Paul Tapper ; illustrated by Marta Kissi"</f>
        <v>by Alice Paul Tapper ; illustrated by Marta Kissi</v>
      </c>
      <c r="G2266" s="3" t="str">
        <f>"Penguin Workshop"</f>
        <v>Penguin Workshop</v>
      </c>
      <c r="H2266" s="2" t="str">
        <f>"2019"</f>
        <v>2019</v>
      </c>
      <c r="I2266" s="3" t="str">
        <f>""</f>
        <v/>
      </c>
    </row>
    <row r="2267" spans="1:9" x14ac:dyDescent="0.3">
      <c r="A2267" s="2">
        <v>2266</v>
      </c>
      <c r="B2267" s="4" t="s">
        <v>34</v>
      </c>
      <c r="C2267" s="3" t="str">
        <f>"TFC000001465"</f>
        <v>TFC000001465</v>
      </c>
      <c r="D2267" s="3" t="str">
        <f>"F800-20-1633-(AR 3.3)"</f>
        <v>F800-20-1633-(AR 3.3)</v>
      </c>
      <c r="E2267" s="3" t="str">
        <f>"Scaredy squirrel has a birthday party"</f>
        <v>Scaredy squirrel has a birthday party</v>
      </c>
      <c r="F2267" s="3" t="str">
        <f>"by Me?lanie Watt"</f>
        <v>by Me?lanie Watt</v>
      </c>
      <c r="G2267" s="3" t="str">
        <f>"Kids Can Press"</f>
        <v>Kids Can Press</v>
      </c>
      <c r="H2267" s="2" t="str">
        <f>"2014"</f>
        <v>2014</v>
      </c>
      <c r="I2267" s="3" t="str">
        <f>""</f>
        <v/>
      </c>
    </row>
    <row r="2268" spans="1:9" x14ac:dyDescent="0.3">
      <c r="A2268" s="2">
        <v>2267</v>
      </c>
      <c r="B2268" s="4" t="s">
        <v>34</v>
      </c>
      <c r="C2268" s="3" t="str">
        <f>"TFC000001466"</f>
        <v>TFC000001466</v>
      </c>
      <c r="D2268" s="3" t="str">
        <f>"F800-20-1634-(AR 3.3)"</f>
        <v>F800-20-1634-(AR 3.3)</v>
      </c>
      <c r="E2268" s="3" t="str">
        <f>"Dragon masters. 3, secret of the water dragon"</f>
        <v>Dragon masters. 3, secret of the water dragon</v>
      </c>
      <c r="F2268" s="3" t="str">
        <f>"by Tracey West ; illustrated by Graham Howells"</f>
        <v>by Tracey West ; illustrated by Graham Howells</v>
      </c>
      <c r="G2268" s="3" t="str">
        <f>"Scholastic"</f>
        <v>Scholastic</v>
      </c>
      <c r="H2268" s="2" t="str">
        <f>"2015"</f>
        <v>2015</v>
      </c>
      <c r="I2268" s="3" t="str">
        <f>""</f>
        <v/>
      </c>
    </row>
    <row r="2269" spans="1:9" x14ac:dyDescent="0.3">
      <c r="A2269" s="2">
        <v>2268</v>
      </c>
      <c r="B2269" s="4" t="s">
        <v>34</v>
      </c>
      <c r="C2269" s="3" t="str">
        <f>"TFC000001467"</f>
        <v>TFC000001467</v>
      </c>
      <c r="D2269" s="3" t="str">
        <f>"F800-20-1635-(AR 3.3)"</f>
        <v>F800-20-1635-(AR 3.3)</v>
      </c>
      <c r="E2269" s="3" t="str">
        <f>"Dragon masters. 9, chill of the Ice dragon"</f>
        <v>Dragon masters. 9, chill of the Ice dragon</v>
      </c>
      <c r="F2269" s="3" t="str">
        <f>"by Tracey West ; illustrated by Graham Howells"</f>
        <v>by Tracey West ; illustrated by Graham Howells</v>
      </c>
      <c r="G2269" s="3" t="str">
        <f>"Scholastic"</f>
        <v>Scholastic</v>
      </c>
      <c r="H2269" s="2" t="str">
        <f>"2018"</f>
        <v>2018</v>
      </c>
      <c r="I2269" s="3" t="str">
        <f>""</f>
        <v/>
      </c>
    </row>
    <row r="2270" spans="1:9" x14ac:dyDescent="0.3">
      <c r="A2270" s="2">
        <v>2269</v>
      </c>
      <c r="B2270" s="4" t="s">
        <v>34</v>
      </c>
      <c r="C2270" s="3" t="str">
        <f>"TFC000001468"</f>
        <v>TFC000001468</v>
      </c>
      <c r="D2270" s="3" t="str">
        <f>"F800-20-1636-(AR 3.3)"</f>
        <v>F800-20-1636-(AR 3.3)</v>
      </c>
      <c r="E2270" s="3" t="str">
        <f>"Jason and the golden fleece"</f>
        <v>Jason and the golden fleece</v>
      </c>
      <c r="F2270" s="3" t="str">
        <f>"retold by Claudia Zeff ; adapted by Gill Harvey ; illustrated by Stephen Cartwright"</f>
        <v>retold by Claudia Zeff ; adapted by Gill Harvey ; illustrated by Stephen Cartwright</v>
      </c>
      <c r="G2270" s="3" t="str">
        <f>"Usborne"</f>
        <v>Usborne</v>
      </c>
      <c r="H2270" s="2" t="str">
        <f>"2007"</f>
        <v>2007</v>
      </c>
      <c r="I2270" s="3" t="str">
        <f>""</f>
        <v/>
      </c>
    </row>
    <row r="2271" spans="1:9" x14ac:dyDescent="0.3">
      <c r="A2271" s="2">
        <v>2270</v>
      </c>
      <c r="B2271" s="4" t="s">
        <v>34</v>
      </c>
      <c r="C2271" s="3" t="str">
        <f>"TFC000001469"</f>
        <v>TFC000001469</v>
      </c>
      <c r="D2271" s="3" t="str">
        <f>"F800-20-1637-(AR 3.3)"</f>
        <v>F800-20-1637-(AR 3.3)</v>
      </c>
      <c r="E2271" s="3" t="str">
        <f>"(The)rainbow fish"</f>
        <v>(The)rainbow fish</v>
      </c>
      <c r="F2271" s="3" t="str">
        <f>"Marcus Pfister ; translated by J. Alison James"</f>
        <v>Marcus Pfister ; translated by J. Alison James</v>
      </c>
      <c r="G2271" s="3" t="str">
        <f>"North-South Books"</f>
        <v>North-South Books</v>
      </c>
      <c r="H2271" s="2" t="str">
        <f>"2018"</f>
        <v>2018</v>
      </c>
      <c r="I2271" s="3" t="str">
        <f>""</f>
        <v/>
      </c>
    </row>
    <row r="2272" spans="1:9" x14ac:dyDescent="0.3">
      <c r="A2272" s="2">
        <v>2271</v>
      </c>
      <c r="B2272" s="4" t="s">
        <v>34</v>
      </c>
      <c r="C2272" s="3" t="str">
        <f>"TFC000001470"</f>
        <v>TFC000001470</v>
      </c>
      <c r="D2272" s="3" t="str">
        <f>"F800-20-1638-(AR 3.3)"</f>
        <v>F800-20-1638-(AR 3.3)</v>
      </c>
      <c r="E2272" s="3" t="str">
        <f>"(The)Rainbow fish"</f>
        <v>(The)Rainbow fish</v>
      </c>
      <c r="F2272" s="3" t="str">
        <f>"Marcus Pfister ; translated by J. Alison James"</f>
        <v>Marcus Pfister ; translated by J. Alison James</v>
      </c>
      <c r="G2272" s="3" t="str">
        <f>"North-South Books"</f>
        <v>North-South Books</v>
      </c>
      <c r="H2272" s="2" t="str">
        <f>"2018"</f>
        <v>2018</v>
      </c>
      <c r="I2272" s="3" t="str">
        <f>""</f>
        <v/>
      </c>
    </row>
    <row r="2273" spans="1:9" x14ac:dyDescent="0.3">
      <c r="A2273" s="2">
        <v>2272</v>
      </c>
      <c r="B2273" s="4" t="s">
        <v>34</v>
      </c>
      <c r="C2273" s="3" t="str">
        <f>"TFC000001471"</f>
        <v>TFC000001471</v>
      </c>
      <c r="D2273" s="3" t="str">
        <f>"F800-20-1639-(AR 3.3)"</f>
        <v>F800-20-1639-(AR 3.3)</v>
      </c>
      <c r="E2273" s="3" t="str">
        <f>"(The)wild, wild west"</f>
        <v>(The)wild, wild west</v>
      </c>
      <c r="F2273" s="3" t="str">
        <f>"by Geronimo Stilton ; illustrated by Larry Keys, Ratterto Rattonchi"</f>
        <v>by Geronimo Stilton ; illustrated by Larry Keys, Ratterto Rattonchi</v>
      </c>
      <c r="G2273" s="3" t="str">
        <f>"Scholastic"</f>
        <v>Scholastic</v>
      </c>
      <c r="H2273" s="2" t="str">
        <f>"2005"</f>
        <v>2005</v>
      </c>
      <c r="I2273" s="3" t="str">
        <f>""</f>
        <v/>
      </c>
    </row>
    <row r="2274" spans="1:9" x14ac:dyDescent="0.3">
      <c r="A2274" s="2">
        <v>2273</v>
      </c>
      <c r="B2274" s="4" t="s">
        <v>34</v>
      </c>
      <c r="C2274" s="3" t="str">
        <f>"TFC000001472"</f>
        <v>TFC000001472</v>
      </c>
      <c r="D2274" s="3" t="str">
        <f>"F900-20-1644-(AR 3.3)"</f>
        <v>F900-20-1644-(AR 3.3)</v>
      </c>
      <c r="E2274" s="3" t="str">
        <f>"Finding providence : the story of Roger Williams"</f>
        <v>Finding providence : the story of Roger Williams</v>
      </c>
      <c r="F2274" s="3" t="str">
        <f>"story by Avi ; illustrated by James Watling"</f>
        <v>story by Avi ; illustrated by James Watling</v>
      </c>
      <c r="G2274" s="3" t="str">
        <f>"HarperTrophy"</f>
        <v>HarperTrophy</v>
      </c>
      <c r="H2274" s="2" t="str">
        <f>"1998"</f>
        <v>1998</v>
      </c>
      <c r="I2274" s="3" t="str">
        <f>""</f>
        <v/>
      </c>
    </row>
    <row r="2275" spans="1:9" x14ac:dyDescent="0.3">
      <c r="A2275" s="2">
        <v>2274</v>
      </c>
      <c r="B2275" s="4" t="s">
        <v>34</v>
      </c>
      <c r="C2275" s="3" t="str">
        <f>"TFC000001473"</f>
        <v>TFC000001473</v>
      </c>
      <c r="D2275" s="3" t="str">
        <f>"F900-20-1645-(AR 3.3)"</f>
        <v>F900-20-1645-(AR 3.3)</v>
      </c>
      <c r="E2275" s="3" t="str">
        <f>"I am Amelia Earhart"</f>
        <v>I am Amelia Earhart</v>
      </c>
      <c r="F2275" s="3" t="str">
        <f>"Brad Meltzer ; illustrated by Christopher Eliopoulos"</f>
        <v>Brad Meltzer ; illustrated by Christopher Eliopoulos</v>
      </c>
      <c r="G2275" s="3" t="str">
        <f>"Dial Books for Young Readers"</f>
        <v>Dial Books for Young Readers</v>
      </c>
      <c r="H2275" s="2" t="str">
        <f>"2014"</f>
        <v>2014</v>
      </c>
      <c r="I2275" s="3" t="str">
        <f>""</f>
        <v/>
      </c>
    </row>
    <row r="2276" spans="1:9" x14ac:dyDescent="0.3">
      <c r="A2276" s="2">
        <v>2275</v>
      </c>
      <c r="B2276" s="4" t="s">
        <v>34</v>
      </c>
      <c r="C2276" s="3" t="str">
        <f>"TFC000002959"</f>
        <v>TFC000002959</v>
      </c>
      <c r="D2276" s="3" t="str">
        <f>"F400-20-1568-(AR 3.3)"</f>
        <v>F400-20-1568-(AR 3.3)</v>
      </c>
      <c r="E2276" s="3" t="str">
        <f>"(The)earth is mostly ocean"</f>
        <v>(The)earth is mostly ocean</v>
      </c>
      <c r="F2276" s="3" t="str">
        <f>"by Allan Fowler"</f>
        <v>by Allan Fowler</v>
      </c>
      <c r="G2276" s="3" t="str">
        <f>"Scholastic"</f>
        <v>Scholastic</v>
      </c>
      <c r="H2276" s="2" t="str">
        <f>"1995"</f>
        <v>1995</v>
      </c>
      <c r="I2276" s="3" t="str">
        <f>""</f>
        <v/>
      </c>
    </row>
    <row r="2277" spans="1:9" x14ac:dyDescent="0.3">
      <c r="A2277" s="2">
        <v>2276</v>
      </c>
      <c r="B2277" s="4" t="s">
        <v>34</v>
      </c>
      <c r="C2277" s="3" t="str">
        <f>"TFC000002875"</f>
        <v>TFC000002875</v>
      </c>
      <c r="D2277" s="3" t="str">
        <f>"F800-20-1640-(AR 3.3)"</f>
        <v>F800-20-1640-(AR 3.3)</v>
      </c>
      <c r="E2277" s="3" t="str">
        <f>"Dancing with the Indians"</f>
        <v>Dancing with the Indians</v>
      </c>
      <c r="F2277" s="3" t="str">
        <f>"by Angela Shelf Medearis ; illustrated by Samuel Byrd"</f>
        <v>by Angela Shelf Medearis ; illustrated by Samuel Byrd</v>
      </c>
      <c r="G2277" s="3" t="str">
        <f>"Scholastic"</f>
        <v>Scholastic</v>
      </c>
      <c r="H2277" s="2" t="str">
        <f>"1992"</f>
        <v>1992</v>
      </c>
      <c r="I2277" s="3" t="str">
        <f>""</f>
        <v/>
      </c>
    </row>
    <row r="2278" spans="1:9" x14ac:dyDescent="0.3">
      <c r="A2278" s="2">
        <v>2277</v>
      </c>
      <c r="B2278" s="4" t="s">
        <v>34</v>
      </c>
      <c r="C2278" s="3" t="str">
        <f>"TFC000002876"</f>
        <v>TFC000002876</v>
      </c>
      <c r="D2278" s="3" t="str">
        <f>"F800-20-1641-(AR 3.3)"</f>
        <v>F800-20-1641-(AR 3.3)</v>
      </c>
      <c r="E2278" s="3" t="str">
        <f>"Dear Whiskers"</f>
        <v>Dear Whiskers</v>
      </c>
      <c r="F2278" s="3" t="str">
        <f>"by Ann Whitehead Nagda ; illustrated by Stephanie Roth"</f>
        <v>by Ann Whitehead Nagda ; illustrated by Stephanie Roth</v>
      </c>
      <c r="G2278" s="3" t="str">
        <f>"Scholastic"</f>
        <v>Scholastic</v>
      </c>
      <c r="H2278" s="2" t="str">
        <f>"2000"</f>
        <v>2000</v>
      </c>
      <c r="I2278" s="3" t="str">
        <f>""</f>
        <v/>
      </c>
    </row>
    <row r="2279" spans="1:9" x14ac:dyDescent="0.3">
      <c r="A2279" s="2">
        <v>2278</v>
      </c>
      <c r="B2279" s="4" t="s">
        <v>34</v>
      </c>
      <c r="C2279" s="3" t="str">
        <f>"TFC000002960"</f>
        <v>TFC000002960</v>
      </c>
      <c r="D2279" s="3" t="str">
        <f>"F800-20-1642-(AR 3.3)"</f>
        <v>F800-20-1642-(AR 3.3)</v>
      </c>
      <c r="E2279" s="3" t="str">
        <f>"(The)spray-paint mystery"</f>
        <v>(The)spray-paint mystery</v>
      </c>
      <c r="F2279" s="3" t="str">
        <f>"Angela Shelf Medearis ; illustrated by Robert Papp"</f>
        <v>Angela Shelf Medearis ; illustrated by Robert Papp</v>
      </c>
      <c r="G2279" s="3" t="str">
        <f>"Scholastic"</f>
        <v>Scholastic</v>
      </c>
      <c r="H2279" s="2" t="str">
        <f>"1996"</f>
        <v>1996</v>
      </c>
      <c r="I2279" s="3" t="str">
        <f>""</f>
        <v/>
      </c>
    </row>
    <row r="2280" spans="1:9" x14ac:dyDescent="0.3">
      <c r="A2280" s="2">
        <v>2279</v>
      </c>
      <c r="B2280" s="4" t="s">
        <v>34</v>
      </c>
      <c r="C2280" s="3" t="str">
        <f>"TFC000002961"</f>
        <v>TFC000002961</v>
      </c>
      <c r="D2280" s="3" t="str">
        <f>"F800-20-1643-(AR 3.3)"</f>
        <v>F800-20-1643-(AR 3.3)</v>
      </c>
      <c r="E2280" s="3" t="str">
        <f>"Ready, set, snow!"</f>
        <v>Ready, set, snow!</v>
      </c>
      <c r="F2280" s="3" t="str">
        <f>"by Abby Klein ; illustrated by John McKinley"</f>
        <v>by Abby Klein ; illustrated by John McKinley</v>
      </c>
      <c r="G2280" s="3" t="str">
        <f>"Scholastic"</f>
        <v>Scholastic</v>
      </c>
      <c r="H2280" s="2" t="str">
        <f>"2009"</f>
        <v>2009</v>
      </c>
      <c r="I2280" s="3" t="str">
        <f>""</f>
        <v/>
      </c>
    </row>
    <row r="2281" spans="1:9" x14ac:dyDescent="0.3">
      <c r="A2281" s="2">
        <v>2280</v>
      </c>
      <c r="B2281" s="4" t="s">
        <v>34</v>
      </c>
      <c r="C2281" s="3" t="str">
        <f>"TFC000003189"</f>
        <v>TFC000003189</v>
      </c>
      <c r="D2281" s="3" t="str">
        <f>"F800-21-0597-(AR 3.3)"</f>
        <v>F800-21-0597-(AR 3.3)</v>
      </c>
      <c r="E2281" s="3" t="str">
        <f>"Prank you very much"</f>
        <v>Prank you very much</v>
      </c>
      <c r="F2281" s="3" t="str">
        <f>"by Megan McDonald ; illustrated by Erwin Madrid"</f>
        <v>by Megan McDonald ; illustrated by Erwin Madrid</v>
      </c>
      <c r="G2281" s="3" t="str">
        <f>"Candlewick Press"</f>
        <v>Candlewick Press</v>
      </c>
      <c r="H2281" s="2" t="str">
        <f>"2019"</f>
        <v>2019</v>
      </c>
      <c r="I2281" s="3" t="str">
        <f>""</f>
        <v/>
      </c>
    </row>
    <row r="2282" spans="1:9" x14ac:dyDescent="0.3">
      <c r="A2282" s="2">
        <v>2281</v>
      </c>
      <c r="B2282" s="4" t="s">
        <v>34</v>
      </c>
      <c r="C2282" s="3" t="str">
        <f>"TFC000003361"</f>
        <v>TFC000003361</v>
      </c>
      <c r="D2282" s="3" t="str">
        <f>"F800-21-0582-(AR 3.3)"</f>
        <v>F800-21-0582-(AR 3.3)</v>
      </c>
      <c r="E2282" s="3" t="str">
        <f>"Duck days"</f>
        <v>Duck days</v>
      </c>
      <c r="F2282" s="3" t="str">
        <f>"by Sara Leach ; illustrations by Rebecca Bender"</f>
        <v>by Sara Leach ; illustrations by Rebecca Bender</v>
      </c>
      <c r="G2282" s="3" t="str">
        <f>"Pajama Press"</f>
        <v>Pajama Press</v>
      </c>
      <c r="H2282" s="2" t="str">
        <f>"2020"</f>
        <v>2020</v>
      </c>
      <c r="I2282" s="3" t="str">
        <f>""</f>
        <v/>
      </c>
    </row>
    <row r="2283" spans="1:9" x14ac:dyDescent="0.3">
      <c r="A2283" s="2">
        <v>2282</v>
      </c>
      <c r="B2283" s="4" t="s">
        <v>34</v>
      </c>
      <c r="C2283" s="3" t="str">
        <f>"TFC000003362"</f>
        <v>TFC000003362</v>
      </c>
      <c r="D2283" s="3" t="str">
        <f>"F800-21-0583-(AR 3.3)"</f>
        <v>F800-21-0583-(AR 3.3)</v>
      </c>
      <c r="E2283" s="3" t="str">
        <f>"Henry Heckelbeck and the haunted hideout"</f>
        <v>Henry Heckelbeck and the haunted hideout</v>
      </c>
      <c r="F2283" s="3" t="str">
        <f>"by Wanda Coven ; illustrated by Priscilla Burris"</f>
        <v>by Wanda Coven ; illustrated by Priscilla Burris</v>
      </c>
      <c r="G2283" s="3" t="str">
        <f>"Little Simon"</f>
        <v>Little Simon</v>
      </c>
      <c r="H2283" s="2" t="str">
        <f>"2020"</f>
        <v>2020</v>
      </c>
      <c r="I2283" s="3" t="str">
        <f>""</f>
        <v/>
      </c>
    </row>
    <row r="2284" spans="1:9" x14ac:dyDescent="0.3">
      <c r="A2284" s="2">
        <v>2283</v>
      </c>
      <c r="B2284" s="4" t="s">
        <v>34</v>
      </c>
      <c r="C2284" s="3" t="str">
        <f>"TFC000003363"</f>
        <v>TFC000003363</v>
      </c>
      <c r="D2284" s="3" t="str">
        <f>"F800-21-0584-(AR 3.3)"</f>
        <v>F800-21-0584-(AR 3.3)</v>
      </c>
      <c r="E2284" s="3" t="str">
        <f>"How to hide a lion at christmas"</f>
        <v>How to hide a lion at christmas</v>
      </c>
      <c r="F2284" s="3" t="str">
        <f>"by Helen Stephens"</f>
        <v>by Helen Stephens</v>
      </c>
      <c r="G2284" s="3" t="str">
        <f>"Alison Green Books"</f>
        <v>Alison Green Books</v>
      </c>
      <c r="H2284" s="2" t="str">
        <f>"2019"</f>
        <v>2019</v>
      </c>
      <c r="I2284" s="3" t="str">
        <f>""</f>
        <v/>
      </c>
    </row>
    <row r="2285" spans="1:9" x14ac:dyDescent="0.3">
      <c r="A2285" s="2">
        <v>2284</v>
      </c>
      <c r="B2285" s="4" t="s">
        <v>34</v>
      </c>
      <c r="C2285" s="3" t="str">
        <f>"TFC000003364"</f>
        <v>TFC000003364</v>
      </c>
      <c r="D2285" s="3" t="str">
        <f>"F800-21-0585-(AR 3.3)"</f>
        <v>F800-21-0585-(AR 3.3)</v>
      </c>
      <c r="E2285" s="3" t="str">
        <f>"Sadiq and the perfect play"</f>
        <v>Sadiq and the perfect play</v>
      </c>
      <c r="F2285" s="3" t="str">
        <f>"by Siman Nuurali ; art by Anjan Sarkar"</f>
        <v>by Siman Nuurali ; art by Anjan Sarkar</v>
      </c>
      <c r="G2285" s="3" t="str">
        <f>"Picture Window Books"</f>
        <v>Picture Window Books</v>
      </c>
      <c r="H2285" s="2" t="str">
        <f>"2021"</f>
        <v>2021</v>
      </c>
      <c r="I2285" s="3" t="str">
        <f>""</f>
        <v/>
      </c>
    </row>
    <row r="2286" spans="1:9" x14ac:dyDescent="0.3">
      <c r="A2286" s="2">
        <v>2285</v>
      </c>
      <c r="B2286" s="4" t="s">
        <v>34</v>
      </c>
      <c r="C2286" s="3" t="str">
        <f>"TFC000003365"</f>
        <v>TFC000003365</v>
      </c>
      <c r="D2286" s="3" t="str">
        <f>"F800-21-0586-(AR 3.3)"</f>
        <v>F800-21-0586-(AR 3.3)</v>
      </c>
      <c r="E2286" s="3" t="str">
        <f>"Last stop on Market Street"</f>
        <v>Last stop on Market Street</v>
      </c>
      <c r="F2286" s="3" t="str">
        <f>"by Matt de la Pena ; illustrated by Christian Robinson"</f>
        <v>by Matt de la Pena ; illustrated by Christian Robinson</v>
      </c>
      <c r="G2286" s="3" t="str">
        <f>"G.P. Putnam's Sons"</f>
        <v>G.P. Putnam's Sons</v>
      </c>
      <c r="H2286" s="2" t="str">
        <f>"2015"</f>
        <v>2015</v>
      </c>
      <c r="I2286" s="3" t="str">
        <f>""</f>
        <v/>
      </c>
    </row>
    <row r="2287" spans="1:9" x14ac:dyDescent="0.3">
      <c r="A2287" s="2">
        <v>2286</v>
      </c>
      <c r="B2287" s="4" t="s">
        <v>34</v>
      </c>
      <c r="C2287" s="3" t="str">
        <f>"TFC000003446"</f>
        <v>TFC000003446</v>
      </c>
      <c r="D2287" s="3" t="str">
        <f>"F800-21-0587-(AR 3.3)"</f>
        <v>F800-21-0587-(AR 3.3)</v>
      </c>
      <c r="E2287" s="3" t="str">
        <f>"Searching for Stinkodon"</f>
        <v>Searching for Stinkodon</v>
      </c>
      <c r="F2287" s="3" t="str">
        <f>"by Megan McDonald, illustrated by Erwin Madrid"</f>
        <v>by Megan McDonald, illustrated by Erwin Madrid</v>
      </c>
      <c r="G2287" s="3" t="str">
        <f>"Candlewick Press"</f>
        <v>Candlewick Press</v>
      </c>
      <c r="H2287" s="2" t="str">
        <f>"2019"</f>
        <v>2019</v>
      </c>
      <c r="I2287" s="3" t="str">
        <f>""</f>
        <v/>
      </c>
    </row>
    <row r="2288" spans="1:9" x14ac:dyDescent="0.3">
      <c r="A2288" s="2">
        <v>2287</v>
      </c>
      <c r="B2288" s="4" t="s">
        <v>34</v>
      </c>
      <c r="C2288" s="3" t="str">
        <f>"TFC000003482"</f>
        <v>TFC000003482</v>
      </c>
      <c r="D2288" s="3" t="str">
        <f>"F800-21-0588-(AR 3.3)"</f>
        <v>F800-21-0588-(AR 3.3)</v>
      </c>
      <c r="E2288" s="3" t="str">
        <f>"Monkey with a tool belt and the school catastrophe"</f>
        <v>Monkey with a tool belt and the school catastrophe</v>
      </c>
      <c r="F2288" s="3" t="str">
        <f>"written and illustrated by Chris Monroe"</f>
        <v>written and illustrated by Chris Monroe</v>
      </c>
      <c r="G2288" s="3" t="str">
        <f>"Carolrhoda Books"</f>
        <v>Carolrhoda Books</v>
      </c>
      <c r="H2288" s="2" t="str">
        <f>"2017"</f>
        <v>2017</v>
      </c>
      <c r="I2288" s="3" t="str">
        <f>""</f>
        <v/>
      </c>
    </row>
    <row r="2289" spans="1:9" x14ac:dyDescent="0.3">
      <c r="A2289" s="2">
        <v>2288</v>
      </c>
      <c r="B2289" s="4" t="s">
        <v>34</v>
      </c>
      <c r="C2289" s="3" t="str">
        <f>"TFC000003496"</f>
        <v>TFC000003496</v>
      </c>
      <c r="D2289" s="3" t="str">
        <f>"F800-21-0589-(AR 3.3)"</f>
        <v>F800-21-0589-(AR 3.3)</v>
      </c>
      <c r="E2289" s="3" t="str">
        <f>"Last stop on market street"</f>
        <v>Last stop on market street</v>
      </c>
      <c r="F2289" s="3" t="str">
        <f>"words by Matt de la Pena, pictures by Christian Robinson"</f>
        <v>words by Matt de la Pena, pictures by Christian Robinson</v>
      </c>
      <c r="G2289" s="3" t="str">
        <f>"Puffin"</f>
        <v>Puffin</v>
      </c>
      <c r="H2289" s="2" t="str">
        <f>"2017"</f>
        <v>2017</v>
      </c>
      <c r="I2289" s="3" t="str">
        <f>""</f>
        <v/>
      </c>
    </row>
    <row r="2290" spans="1:9" x14ac:dyDescent="0.3">
      <c r="A2290" s="2">
        <v>2289</v>
      </c>
      <c r="B2290" s="4" t="s">
        <v>34</v>
      </c>
      <c r="C2290" s="3" t="str">
        <f>"TFC000003580"</f>
        <v>TFC000003580</v>
      </c>
      <c r="D2290" s="3" t="str">
        <f>"F400-21-0581-(AR 3.3)"</f>
        <v>F400-21-0581-(AR 3.3)</v>
      </c>
      <c r="E2290" s="3" t="str">
        <f>"Show horses"</f>
        <v>Show horses</v>
      </c>
      <c r="F2290" s="3" t="str">
        <f>"by Stephanie Turnbull"</f>
        <v>by Stephanie Turnbull</v>
      </c>
      <c r="G2290" s="3" t="str">
        <f>"A+:Smart Apple Media"</f>
        <v>A+:Smart Apple Media</v>
      </c>
      <c r="H2290" s="2" t="str">
        <f>"2015"</f>
        <v>2015</v>
      </c>
      <c r="I2290" s="3" t="str">
        <f>""</f>
        <v/>
      </c>
    </row>
    <row r="2291" spans="1:9" x14ac:dyDescent="0.3">
      <c r="A2291" s="2">
        <v>2290</v>
      </c>
      <c r="B2291" s="4" t="s">
        <v>34</v>
      </c>
      <c r="C2291" s="3" t="str">
        <f>"TFC000003736"</f>
        <v>TFC000003736</v>
      </c>
      <c r="D2291" s="3" t="str">
        <f>"F800-21-0591-(AR 3.3)"</f>
        <v>F800-21-0591-(AR 3.3)</v>
      </c>
      <c r="E2291" s="3" t="str">
        <f>"(The)class election from the black lagoon"</f>
        <v>(The)class election from the black lagoon</v>
      </c>
      <c r="F2291" s="3" t="str">
        <f>"by Mike Thaler ; illustraed by Jared lee"</f>
        <v>by Mike Thaler ; illustraed by Jared lee</v>
      </c>
      <c r="G2291" s="3" t="str">
        <f>"Scholastic"</f>
        <v>Scholastic</v>
      </c>
      <c r="H2291" s="2" t="str">
        <f>"2007"</f>
        <v>2007</v>
      </c>
      <c r="I2291" s="3" t="str">
        <f>""</f>
        <v/>
      </c>
    </row>
    <row r="2292" spans="1:9" x14ac:dyDescent="0.3">
      <c r="A2292" s="2">
        <v>2291</v>
      </c>
      <c r="B2292" s="4" t="s">
        <v>34</v>
      </c>
      <c r="C2292" s="3" t="str">
        <f>"TFC000003762"</f>
        <v>TFC000003762</v>
      </c>
      <c r="D2292" s="3" t="str">
        <f>"F800-21-0592-(AR 3.3)"</f>
        <v>F800-21-0592-(AR 3.3)</v>
      </c>
      <c r="E2292" s="3" t="str">
        <f>"Groundhog day from the black lagoon"</f>
        <v>Groundhog day from the black lagoon</v>
      </c>
      <c r="F2292" s="3" t="str">
        <f>"by Mike Thaler ; illustraed by Jared lee"</f>
        <v>by Mike Thaler ; illustraed by Jared lee</v>
      </c>
      <c r="G2292" s="3" t="str">
        <f>"Scholastic"</f>
        <v>Scholastic</v>
      </c>
      <c r="H2292" s="2" t="str">
        <f>"2015"</f>
        <v>2015</v>
      </c>
      <c r="I2292" s="3" t="str">
        <f>""</f>
        <v/>
      </c>
    </row>
    <row r="2293" spans="1:9" x14ac:dyDescent="0.3">
      <c r="A2293" s="2">
        <v>2292</v>
      </c>
      <c r="B2293" s="4" t="s">
        <v>34</v>
      </c>
      <c r="C2293" s="3" t="str">
        <f>"TFC000004060"</f>
        <v>TFC000004060</v>
      </c>
      <c r="D2293" s="3" t="str">
        <f>"F300-21-0580-(AR 3.3)"</f>
        <v>F300-21-0580-(AR 3.3)</v>
      </c>
      <c r="E2293" s="3" t="str">
        <f>"(The)Bird sweet magic"</f>
        <v>(The)Bird sweet magic</v>
      </c>
      <c r="F2293" s="3" t="str">
        <f>"Christine Platt, illustrated by Evelt Yanait"</f>
        <v>Christine Platt, illustrated by Evelt Yanait</v>
      </c>
      <c r="G2293" s="3" t="str">
        <f>"Calico Kid"</f>
        <v>Calico Kid</v>
      </c>
      <c r="H2293" s="2" t="str">
        <f>"2021"</f>
        <v>2021</v>
      </c>
      <c r="I2293" s="3" t="str">
        <f>""</f>
        <v/>
      </c>
    </row>
    <row r="2294" spans="1:9" x14ac:dyDescent="0.3">
      <c r="A2294" s="2">
        <v>2293</v>
      </c>
      <c r="B2294" s="4" t="s">
        <v>34</v>
      </c>
      <c r="C2294" s="3" t="str">
        <f>"TFC000004300"</f>
        <v>TFC000004300</v>
      </c>
      <c r="D2294" s="3" t="str">
        <f>"F800-22-0033-(AR 3.3)"</f>
        <v>F800-22-0033-(AR 3.3)</v>
      </c>
      <c r="E2294" s="3" t="str">
        <f>"Juno Valentine and the magical shoes"</f>
        <v>Juno Valentine and the magical shoes</v>
      </c>
      <c r="F2294" s="3" t="str">
        <f>"written by Eva Chen, illustrated by Derek Desierto"</f>
        <v>written by Eva Chen, illustrated by Derek Desierto</v>
      </c>
      <c r="G2294" s="3" t="str">
        <f>"Feiwel and Friends"</f>
        <v>Feiwel and Friends</v>
      </c>
      <c r="H2294" s="2" t="str">
        <f>"2018"</f>
        <v>2018</v>
      </c>
      <c r="I2294" s="3" t="str">
        <f>""</f>
        <v/>
      </c>
    </row>
    <row r="2295" spans="1:9" x14ac:dyDescent="0.3">
      <c r="A2295" s="2">
        <v>2294</v>
      </c>
      <c r="B2295" s="4" t="s">
        <v>34</v>
      </c>
      <c r="C2295" s="3" t="str">
        <f>"TFC000004890"</f>
        <v>TFC000004890</v>
      </c>
      <c r="D2295" s="3" t="str">
        <f>"F800-22-0620-(AR3.3)"</f>
        <v>F800-22-0620-(AR3.3)</v>
      </c>
      <c r="E2295" s="3" t="str">
        <f>"(The)Worrysaurus"</f>
        <v>(The)Worrysaurus</v>
      </c>
      <c r="F2295" s="3" t="str">
        <f>"by Rachel Bright"</f>
        <v>by Rachel Bright</v>
      </c>
      <c r="G2295" s="3" t="str">
        <f>"Orchard Books"</f>
        <v>Orchard Books</v>
      </c>
      <c r="H2295" s="2" t="str">
        <f>"2020"</f>
        <v>2020</v>
      </c>
      <c r="I2295" s="3" t="str">
        <f>""</f>
        <v/>
      </c>
    </row>
    <row r="2296" spans="1:9" x14ac:dyDescent="0.3">
      <c r="A2296" s="2">
        <v>2295</v>
      </c>
      <c r="B2296" s="4" t="s">
        <v>34</v>
      </c>
      <c r="C2296" s="3" t="str">
        <f>"TFC000004466"</f>
        <v>TFC000004466</v>
      </c>
      <c r="D2296" s="3" t="str">
        <f>"F800-22-0275-(AR3.3)"</f>
        <v>F800-22-0275-(AR3.3)</v>
      </c>
      <c r="E2296" s="3" t="str">
        <f>"(The)heart of a whale"</f>
        <v>(The)heart of a whale</v>
      </c>
      <c r="F2296" s="3" t="str">
        <f>"Anna Pignataro"</f>
        <v>Anna Pignataro</v>
      </c>
      <c r="G2296" s="3" t="str">
        <f>"Philomel Books"</f>
        <v>Philomel Books</v>
      </c>
      <c r="H2296" s="2" t="str">
        <f>"2020"</f>
        <v>2020</v>
      </c>
      <c r="I2296" s="3" t="str">
        <f>""</f>
        <v/>
      </c>
    </row>
    <row r="2297" spans="1:9" x14ac:dyDescent="0.3">
      <c r="A2297" s="2">
        <v>2296</v>
      </c>
      <c r="B2297" s="4" t="s">
        <v>34</v>
      </c>
      <c r="C2297" s="3" t="str">
        <f>"TFC000004467"</f>
        <v>TFC000004467</v>
      </c>
      <c r="D2297" s="3" t="str">
        <f>"F800-22-0276-(AR3.3)"</f>
        <v>F800-22-0276-(AR3.3)</v>
      </c>
      <c r="E2297" s="3" t="str">
        <f>"(The)Little Owl &amp; the Big Tree : a Christmas story"</f>
        <v>(The)Little Owl &amp; the Big Tree : a Christmas story</v>
      </c>
      <c r="F2297" s="3" t="str">
        <f>"by Jonah Winter, [illustrated by] Jeanette Winter"</f>
        <v>by Jonah Winter, [illustrated by] Jeanette Winter</v>
      </c>
      <c r="G2297" s="3" t="str">
        <f>"Beach Lane Books"</f>
        <v>Beach Lane Books</v>
      </c>
      <c r="H2297" s="2" t="str">
        <f>"2021"</f>
        <v>2021</v>
      </c>
      <c r="I2297" s="3" t="str">
        <f>""</f>
        <v/>
      </c>
    </row>
    <row r="2298" spans="1:9" x14ac:dyDescent="0.3">
      <c r="A2298" s="2">
        <v>2297</v>
      </c>
      <c r="B2298" s="4" t="s">
        <v>34</v>
      </c>
      <c r="C2298" s="3" t="str">
        <f>"TFC000004468"</f>
        <v>TFC000004468</v>
      </c>
      <c r="D2298" s="3" t="str">
        <f>"F800-22-0277-(AR3.3)"</f>
        <v>F800-22-0277-(AR3.3)</v>
      </c>
      <c r="E2298" s="3" t="str">
        <f>"Moose's Book Bus"</f>
        <v>Moose's Book Bus</v>
      </c>
      <c r="F2298" s="3" t="str">
        <f>"by Inga Moore"</f>
        <v>by Inga Moore</v>
      </c>
      <c r="G2298" s="3" t="str">
        <f>"Candlewick Press"</f>
        <v>Candlewick Press</v>
      </c>
      <c r="H2298" s="2" t="str">
        <f>"2021"</f>
        <v>2021</v>
      </c>
      <c r="I2298" s="3" t="str">
        <f>""</f>
        <v/>
      </c>
    </row>
    <row r="2299" spans="1:9" x14ac:dyDescent="0.3">
      <c r="A2299" s="2">
        <v>2298</v>
      </c>
      <c r="B2299" s="4" t="s">
        <v>34</v>
      </c>
      <c r="C2299" s="3" t="str">
        <f>"TFC000004469"</f>
        <v>TFC000004469</v>
      </c>
      <c r="D2299" s="3" t="str">
        <f>"F900-22-0278-(AR3.3)"</f>
        <v>F900-22-0278-(AR3.3)</v>
      </c>
      <c r="E2299" s="3" t="str">
        <f>"Pompeii"</f>
        <v>Pompeii</v>
      </c>
      <c r="F2299" s="3" t="str">
        <f>"by Julie Murray"</f>
        <v>by Julie Murray</v>
      </c>
      <c r="G2299" s="3" t="str">
        <f>"Dash"</f>
        <v>Dash</v>
      </c>
      <c r="H2299" s="2" t="str">
        <f>"2021"</f>
        <v>2021</v>
      </c>
      <c r="I2299" s="3" t="str">
        <f>""</f>
        <v/>
      </c>
    </row>
    <row r="2300" spans="1:9" x14ac:dyDescent="0.3">
      <c r="A2300" s="2">
        <v>2299</v>
      </c>
      <c r="B2300" s="4" t="s">
        <v>34</v>
      </c>
      <c r="C2300" s="3" t="str">
        <f>"TFC000004910"</f>
        <v>TFC000004910</v>
      </c>
      <c r="D2300" s="3" t="str">
        <f>"F800-23-0014-(AR3.3)"</f>
        <v>F800-23-0014-(AR3.3)</v>
      </c>
      <c r="E2300" s="3" t="str">
        <f>"(The)dark secret : the graphic novel. 4"</f>
        <v>(The)dark secret : the graphic novel. 4</v>
      </c>
      <c r="F2300" s="3" t="str">
        <f>"by Tui T. Sutherland"</f>
        <v>by Tui T. Sutherland</v>
      </c>
      <c r="G2300" s="3" t="str">
        <f>"Graphix"</f>
        <v>Graphix</v>
      </c>
      <c r="H2300" s="2" t="str">
        <f>"2021"</f>
        <v>2021</v>
      </c>
      <c r="I2300" s="3" t="str">
        <f>""</f>
        <v/>
      </c>
    </row>
    <row r="2301" spans="1:9" x14ac:dyDescent="0.3">
      <c r="A2301" s="2">
        <v>2300</v>
      </c>
      <c r="B2301" s="4" t="s">
        <v>34</v>
      </c>
      <c r="C2301" s="3" t="str">
        <f>"TFC000004677"</f>
        <v>TFC000004677</v>
      </c>
      <c r="D2301" s="3" t="str">
        <f>"F800-22-0486-(AR3.3)"</f>
        <v>F800-22-0486-(AR3.3)</v>
      </c>
      <c r="E2301" s="3" t="str">
        <f>"Once upon a fairy tale. 2, (The)Stolen slipper"</f>
        <v>Once upon a fairy tale. 2, (The)Stolen slipper</v>
      </c>
      <c r="F2301" s="3" t="str">
        <f>"story by Anna Staniszewski, art by Macky Pamintuan"</f>
        <v>story by Anna Staniszewski, art by Macky Pamintuan</v>
      </c>
      <c r="G2301" s="3" t="str">
        <f>"Scholastic Inc"</f>
        <v>Scholastic Inc</v>
      </c>
      <c r="H2301" s="2" t="str">
        <f>"2019"</f>
        <v>2019</v>
      </c>
      <c r="I2301" s="3" t="str">
        <f>""</f>
        <v/>
      </c>
    </row>
    <row r="2302" spans="1:9" x14ac:dyDescent="0.3">
      <c r="A2302" s="2">
        <v>2301</v>
      </c>
      <c r="B2302" s="4" t="s">
        <v>34</v>
      </c>
      <c r="C2302" s="3" t="str">
        <f>"TFC000004885"</f>
        <v>TFC000004885</v>
      </c>
      <c r="D2302" s="3" t="str">
        <f>"F800-22-0615-(AR3.3)"</f>
        <v>F800-22-0615-(AR3.3)</v>
      </c>
      <c r="E2302" s="3" t="str">
        <f>"Long way down : the graphic novel"</f>
        <v>Long way down : the graphic novel</v>
      </c>
      <c r="F2302" s="3" t="str">
        <f>"by Jason Reynolds, with art by Danica Novgorodoff"</f>
        <v>by Jason Reynolds, with art by Danica Novgorodoff</v>
      </c>
      <c r="G2302" s="3" t="str">
        <f>"Atheneum"</f>
        <v>Atheneum</v>
      </c>
      <c r="H2302" s="2" t="str">
        <f>"2020"</f>
        <v>2020</v>
      </c>
      <c r="I2302" s="3" t="str">
        <f>""</f>
        <v/>
      </c>
    </row>
    <row r="2303" spans="1:9" x14ac:dyDescent="0.3">
      <c r="A2303" s="2">
        <v>2302</v>
      </c>
      <c r="B2303" s="4" t="s">
        <v>34</v>
      </c>
      <c r="C2303" s="3" t="str">
        <f>"TFC000003884"</f>
        <v>TFC000003884</v>
      </c>
      <c r="D2303" s="3" t="str">
        <f>"F800-21-0593-1(AR 3.3)"</f>
        <v>F800-21-0593-1(AR 3.3)</v>
      </c>
      <c r="E2303" s="3" t="str">
        <f>"Goosebumps horrorland. 1, Revenge of the Living Dummy"</f>
        <v>Goosebumps horrorland. 1, Revenge of the Living Dummy</v>
      </c>
      <c r="F2303" s="3" t="str">
        <f>"by R. L. Stine"</f>
        <v>by R. L. Stine</v>
      </c>
      <c r="G2303" s="3" t="str">
        <f>"Scholastic"</f>
        <v>Scholastic</v>
      </c>
      <c r="H2303" s="2" t="str">
        <f>"2008"</f>
        <v>2008</v>
      </c>
      <c r="I2303" s="3" t="str">
        <f>""</f>
        <v/>
      </c>
    </row>
    <row r="2304" spans="1:9" x14ac:dyDescent="0.3">
      <c r="A2304" s="2">
        <v>2303</v>
      </c>
      <c r="B2304" s="4" t="s">
        <v>34</v>
      </c>
      <c r="C2304" s="3" t="str">
        <f>"TFC000004059"</f>
        <v>TFC000004059</v>
      </c>
      <c r="D2304" s="3" t="str">
        <f>"F800-21-0595-1(AR 3.3)"</f>
        <v>F800-21-0595-1(AR 3.3)</v>
      </c>
      <c r="E2304" s="3" t="str">
        <f>"Book buddies. 1, Ivy lost and found"</f>
        <v>Book buddies. 1, Ivy lost and found</v>
      </c>
      <c r="F2304" s="3" t="str">
        <f>"by Cynthia Lord, illustrated by Stephanie Graegin"</f>
        <v>by Cynthia Lord, illustrated by Stephanie Graegin</v>
      </c>
      <c r="G2304" s="3" t="str">
        <f>"Candlewick Press"</f>
        <v>Candlewick Press</v>
      </c>
      <c r="H2304" s="2" t="str">
        <f>"2021"</f>
        <v>2021</v>
      </c>
      <c r="I2304" s="3" t="str">
        <f>""</f>
        <v/>
      </c>
    </row>
    <row r="2305" spans="1:9" x14ac:dyDescent="0.3">
      <c r="A2305" s="2">
        <v>2304</v>
      </c>
      <c r="B2305" s="4" t="s">
        <v>34</v>
      </c>
      <c r="C2305" s="3" t="str">
        <f>"TFC000004252"</f>
        <v>TFC000004252</v>
      </c>
      <c r="D2305" s="3" t="str">
        <f>"F800-22-0031-1(AR 3.3)"</f>
        <v>F800-22-0031-1(AR 3.3)</v>
      </c>
      <c r="E2305" s="3" t="str">
        <f>"(The)Critter club. 1, Amy and the missing puppy"</f>
        <v>(The)Critter club. 1, Amy and the missing puppy</v>
      </c>
      <c r="F2305" s="3" t="str">
        <f>"by Callie Varkley, illustrated by Marsha Riti"</f>
        <v>by Callie Varkley, illustrated by Marsha Riti</v>
      </c>
      <c r="G2305" s="3" t="str">
        <f>"Little Simon"</f>
        <v>Little Simon</v>
      </c>
      <c r="H2305" s="2" t="str">
        <f>"2013"</f>
        <v>2013</v>
      </c>
      <c r="I2305" s="3" t="str">
        <f>""</f>
        <v/>
      </c>
    </row>
    <row r="2306" spans="1:9" x14ac:dyDescent="0.3">
      <c r="A2306" s="2">
        <v>2305</v>
      </c>
      <c r="B2306" s="4" t="s">
        <v>34</v>
      </c>
      <c r="C2306" s="3" t="str">
        <f>"TFC000004172"</f>
        <v>TFC000004172</v>
      </c>
      <c r="D2306" s="3" t="str">
        <f>"F800-21-0596-10(AR 3.3)"</f>
        <v>F800-21-0596-10(AR 3.3)</v>
      </c>
      <c r="E2306" s="3" t="str">
        <f>"Miss Mary is scary!"</f>
        <v>Miss Mary is scary!</v>
      </c>
      <c r="F2306" s="3" t="str">
        <f>"by Dan Gutman, pictures by Jim Paillot"</f>
        <v>by Dan Gutman, pictures by Jim Paillot</v>
      </c>
      <c r="G2306" s="3" t="str">
        <f>"HarperTrophy"</f>
        <v>HarperTrophy</v>
      </c>
      <c r="H2306" s="2" t="str">
        <f>"2010"</f>
        <v>2010</v>
      </c>
      <c r="I2306" s="3" t="str">
        <f>""</f>
        <v/>
      </c>
    </row>
    <row r="2307" spans="1:9" x14ac:dyDescent="0.3">
      <c r="A2307" s="2">
        <v>2306</v>
      </c>
      <c r="B2307" s="4">
        <v>3.3</v>
      </c>
      <c r="C2307" s="3" t="str">
        <f>"TFC000001446"</f>
        <v>TFC000001446</v>
      </c>
      <c r="D2307" s="3" t="str">
        <f>"F800-20-1614-12(AR 3.3)"</f>
        <v>F800-20-1614-12(AR 3.3)</v>
      </c>
      <c r="E2307" s="3" t="str">
        <f>"Polar bears past bedtime"</f>
        <v>Polar bears past bedtime</v>
      </c>
      <c r="F2307" s="3" t="str">
        <f>"by Mary Pope Osborne ; illustrated by Sal Murdocca"</f>
        <v>by Mary Pope Osborne ; illustrated by Sal Murdocca</v>
      </c>
      <c r="G2307" s="3" t="str">
        <f>"Random House"</f>
        <v>Random House</v>
      </c>
      <c r="H2307" s="2" t="str">
        <f>"1998"</f>
        <v>1998</v>
      </c>
      <c r="I2307" s="3" t="str">
        <f>""</f>
        <v/>
      </c>
    </row>
    <row r="2308" spans="1:9" x14ac:dyDescent="0.3">
      <c r="A2308" s="2">
        <v>2307</v>
      </c>
      <c r="B2308" s="4">
        <v>3.3</v>
      </c>
      <c r="C2308" s="3" t="str">
        <f>"TFC000001447"</f>
        <v>TFC000001447</v>
      </c>
      <c r="D2308" s="3" t="str">
        <f>"F800-20-1615-13(AR 3.3)"</f>
        <v>F800-20-1615-13(AR 3.3)</v>
      </c>
      <c r="E2308" s="3" t="str">
        <f>"Vacation under the volacano"</f>
        <v>Vacation under the volacano</v>
      </c>
      <c r="F2308" s="3" t="str">
        <f>"by Mary Pope Osborne ; illustated by Sal Murdocca"</f>
        <v>by Mary Pope Osborne ; illustated by Sal Murdocca</v>
      </c>
      <c r="G2308" s="3" t="str">
        <f>"Random House"</f>
        <v>Random House</v>
      </c>
      <c r="H2308" s="2" t="str">
        <f>"1998"</f>
        <v>1998</v>
      </c>
      <c r="I2308" s="3" t="str">
        <f>""</f>
        <v/>
      </c>
    </row>
    <row r="2309" spans="1:9" x14ac:dyDescent="0.3">
      <c r="A2309" s="2">
        <v>2308</v>
      </c>
      <c r="B2309" s="4">
        <v>3.3</v>
      </c>
      <c r="C2309" s="3" t="str">
        <f>"TFC000001448"</f>
        <v>TFC000001448</v>
      </c>
      <c r="D2309" s="3" t="str">
        <f>"F800-20-1616-14(AR 3.3)"</f>
        <v>F800-20-1616-14(AR 3.3)</v>
      </c>
      <c r="E2309" s="3" t="str">
        <f>"Day of the dragon king"</f>
        <v>Day of the dragon king</v>
      </c>
      <c r="F2309" s="3" t="str">
        <f>"by Mary Pope Osborne ; illustrated by Sal Murdocca"</f>
        <v>by Mary Pope Osborne ; illustrated by Sal Murdocca</v>
      </c>
      <c r="G2309" s="3" t="str">
        <f>"Random House"</f>
        <v>Random House</v>
      </c>
      <c r="H2309" s="2" t="str">
        <f>"1998"</f>
        <v>1998</v>
      </c>
      <c r="I2309" s="3" t="str">
        <f>""</f>
        <v/>
      </c>
    </row>
    <row r="2310" spans="1:9" x14ac:dyDescent="0.3">
      <c r="A2310" s="2">
        <v>2309</v>
      </c>
      <c r="B2310" s="4">
        <v>3.3</v>
      </c>
      <c r="C2310" s="3" t="str">
        <f>"TFC000001449"</f>
        <v>TFC000001449</v>
      </c>
      <c r="D2310" s="3" t="str">
        <f>"F800-20-1617-15(AR 3.3)"</f>
        <v>F800-20-1617-15(AR 3.3)</v>
      </c>
      <c r="E2310" s="3" t="str">
        <f>"Viking ships at sunrise"</f>
        <v>Viking ships at sunrise</v>
      </c>
      <c r="F2310" s="3" t="str">
        <f>"by Mary Pope Osborne ; illustrated by Sal Murdocca"</f>
        <v>by Mary Pope Osborne ; illustrated by Sal Murdocca</v>
      </c>
      <c r="G2310" s="3" t="str">
        <f>"Random House"</f>
        <v>Random House</v>
      </c>
      <c r="H2310" s="2" t="str">
        <f>"1998"</f>
        <v>1998</v>
      </c>
      <c r="I2310" s="3" t="str">
        <f>""</f>
        <v/>
      </c>
    </row>
    <row r="2311" spans="1:9" x14ac:dyDescent="0.3">
      <c r="A2311" s="2">
        <v>2310</v>
      </c>
      <c r="B2311" s="4">
        <v>3.3</v>
      </c>
      <c r="C2311" s="3" t="str">
        <f>"TFC000001450"</f>
        <v>TFC000001450</v>
      </c>
      <c r="D2311" s="3" t="str">
        <f>"F800-20-1618-16(AR 3.3)"</f>
        <v>F800-20-1618-16(AR 3.3)</v>
      </c>
      <c r="E2311" s="3" t="str">
        <f>"Hour of the olympics"</f>
        <v>Hour of the olympics</v>
      </c>
      <c r="F2311" s="3" t="str">
        <f>"by Mary Pope Osborne ; illustrated by Sal Murdocca"</f>
        <v>by Mary Pope Osborne ; illustrated by Sal Murdocca</v>
      </c>
      <c r="G2311" s="3" t="str">
        <f>"Random House"</f>
        <v>Random House</v>
      </c>
      <c r="H2311" s="2" t="str">
        <f>"1998"</f>
        <v>1998</v>
      </c>
      <c r="I2311" s="3" t="str">
        <f>""</f>
        <v/>
      </c>
    </row>
    <row r="2312" spans="1:9" x14ac:dyDescent="0.3">
      <c r="A2312" s="2">
        <v>2311</v>
      </c>
      <c r="B2312" s="4">
        <v>3.3</v>
      </c>
      <c r="C2312" s="3" t="str">
        <f>"TFC000004264"</f>
        <v>TFC000004264</v>
      </c>
      <c r="D2312" s="3" t="str">
        <f>"F800-22-0032-16(AR 3.3)"</f>
        <v>F800-22-0032-16(AR 3.3)</v>
      </c>
      <c r="E2312" s="3" t="str">
        <f>"(The)Critter club. 16, Marion and the secret letter"</f>
        <v>(The)Critter club. 16, Marion and the secret letter</v>
      </c>
      <c r="F2312" s="3" t="str">
        <f>"by Callie Barkley, illustrated by Tracy Bishop"</f>
        <v>by Callie Barkley, illustrated by Tracy Bishop</v>
      </c>
      <c r="G2312" s="3" t="str">
        <f>"Little Simon"</f>
        <v>Little Simon</v>
      </c>
      <c r="H2312" s="2" t="str">
        <f>"2017"</f>
        <v>2017</v>
      </c>
      <c r="I2312" s="3" t="str">
        <f>""</f>
        <v/>
      </c>
    </row>
    <row r="2313" spans="1:9" x14ac:dyDescent="0.3">
      <c r="A2313" s="2">
        <v>2312</v>
      </c>
      <c r="B2313" s="4">
        <v>3.3</v>
      </c>
      <c r="C2313" s="3" t="str">
        <f>"TFC000001451"</f>
        <v>TFC000001451</v>
      </c>
      <c r="D2313" s="3" t="str">
        <f>"F800-20-1619-18(AR 3.3)"</f>
        <v>F800-20-1619-18(AR 3.3)</v>
      </c>
      <c r="E2313" s="3" t="str">
        <f>"Buffalo before breakfast"</f>
        <v>Buffalo before breakfast</v>
      </c>
      <c r="F2313" s="3" t="str">
        <f>"by Mary Pope Osborne ; illustrated by Sal Murdocca"</f>
        <v>by Mary Pope Osborne ; illustrated by Sal Murdocca</v>
      </c>
      <c r="G2313" s="3" t="str">
        <f>"Random House"</f>
        <v>Random House</v>
      </c>
      <c r="H2313" s="2" t="str">
        <f>"1999"</f>
        <v>1999</v>
      </c>
      <c r="I2313" s="3" t="str">
        <f>""</f>
        <v/>
      </c>
    </row>
    <row r="2314" spans="1:9" x14ac:dyDescent="0.3">
      <c r="A2314" s="2">
        <v>2313</v>
      </c>
      <c r="B2314" s="4">
        <v>3.3</v>
      </c>
      <c r="C2314" s="3" t="str">
        <f>"TFC000004270"</f>
        <v>TFC000004270</v>
      </c>
      <c r="D2314" s="3" t="str">
        <f>"F800-22-0104-23(AR 3.3)"</f>
        <v>F800-22-0104-23(AR 3.3)</v>
      </c>
      <c r="E2314" s="3" t="str">
        <f>"(The)critter club. 23, aLiz's Pie in the Sky"</f>
        <v>(The)critter club. 23, aLiz's Pie in the Sky</v>
      </c>
      <c r="F2314" s="3" t="str">
        <f>"by Callie Barkley, Illustrated by Tracy Bishop"</f>
        <v>by Callie Barkley, Illustrated by Tracy Bishop</v>
      </c>
      <c r="G2314" s="3" t="str">
        <f>"Little Simon"</f>
        <v>Little Simon</v>
      </c>
      <c r="H2314" s="2" t="str">
        <f>"2021"</f>
        <v>2021</v>
      </c>
      <c r="I2314" s="3" t="str">
        <f>""</f>
        <v/>
      </c>
    </row>
    <row r="2315" spans="1:9" x14ac:dyDescent="0.3">
      <c r="A2315" s="2">
        <v>2314</v>
      </c>
      <c r="B2315" s="4">
        <v>3.3</v>
      </c>
      <c r="C2315" s="3" t="str">
        <f>"TFC000001452"</f>
        <v>TFC000001452</v>
      </c>
      <c r="D2315" s="3" t="str">
        <f>"F800-20-1620-24(AR 3.3)"</f>
        <v>F800-20-1620-24(AR 3.3)</v>
      </c>
      <c r="E2315" s="3" t="str">
        <f>"Earthquake in the early morning"</f>
        <v>Earthquake in the early morning</v>
      </c>
      <c r="F2315" s="3" t="str">
        <f>"by Mary Pope Osborne ; illustrations by Sal Murdocca"</f>
        <v>by Mary Pope Osborne ; illustrations by Sal Murdocca</v>
      </c>
      <c r="G2315" s="3" t="str">
        <f>"Random House"</f>
        <v>Random House</v>
      </c>
      <c r="H2315" s="2" t="str">
        <f>"2001"</f>
        <v>2001</v>
      </c>
      <c r="I2315" s="3" t="str">
        <f>""</f>
        <v/>
      </c>
    </row>
    <row r="2316" spans="1:9" x14ac:dyDescent="0.3">
      <c r="A2316" s="2">
        <v>2315</v>
      </c>
      <c r="B2316" s="4">
        <v>3.3</v>
      </c>
      <c r="C2316" s="3" t="str">
        <f>"TFC000001453"</f>
        <v>TFC000001453</v>
      </c>
      <c r="D2316" s="3" t="str">
        <f>"F800-20-1621-25(AR 3.3)"</f>
        <v>F800-20-1621-25(AR 3.3)</v>
      </c>
      <c r="E2316" s="3" t="str">
        <f>"Stage fright on summer night"</f>
        <v>Stage fright on summer night</v>
      </c>
      <c r="F2316" s="3" t="str">
        <f>"by Mary Pope Osborne ; illustrated by Sal Murdocca"</f>
        <v>by Mary Pope Osborne ; illustrated by Sal Murdocca</v>
      </c>
      <c r="G2316" s="3" t="str">
        <f>"Random House"</f>
        <v>Random House</v>
      </c>
      <c r="H2316" s="2" t="str">
        <f>"2002"</f>
        <v>2002</v>
      </c>
      <c r="I2316" s="3" t="str">
        <f>""</f>
        <v/>
      </c>
    </row>
    <row r="2317" spans="1:9" x14ac:dyDescent="0.3">
      <c r="A2317" s="2">
        <v>2316</v>
      </c>
      <c r="B2317" s="4">
        <v>3.3</v>
      </c>
      <c r="C2317" s="3" t="str">
        <f>"TFC000001454"</f>
        <v>TFC000001454</v>
      </c>
      <c r="D2317" s="3" t="str">
        <f>"F800-20-1622-26(AR 3.3)"</f>
        <v>F800-20-1622-26(AR 3.3)</v>
      </c>
      <c r="E2317" s="3" t="str">
        <f>"Good morning, gorillas"</f>
        <v>Good morning, gorillas</v>
      </c>
      <c r="F2317" s="3" t="str">
        <f>"by Mary Pope Osborne ; illustated by Sal Murdocca"</f>
        <v>by Mary Pope Osborne ; illustated by Sal Murdocca</v>
      </c>
      <c r="G2317" s="3" t="str">
        <f>"Random House"</f>
        <v>Random House</v>
      </c>
      <c r="H2317" s="2" t="str">
        <f>"2002"</f>
        <v>2002</v>
      </c>
      <c r="I2317" s="3" t="str">
        <f>""</f>
        <v/>
      </c>
    </row>
    <row r="2318" spans="1:9" x14ac:dyDescent="0.3">
      <c r="A2318" s="2">
        <v>2317</v>
      </c>
      <c r="B2318" s="4">
        <v>3.3</v>
      </c>
      <c r="C2318" s="3" t="str">
        <f>"TFC000004005"</f>
        <v>TFC000004005</v>
      </c>
      <c r="D2318" s="3" t="str">
        <f>"F800-21-0594-3(AR 3.3)"</f>
        <v>F800-21-0594-3(AR 3.3)</v>
      </c>
      <c r="E2318" s="3" t="str">
        <f>"Marty pants. 3, How to defeat a wizard!"</f>
        <v>Marty pants. 3, How to defeat a wizard!</v>
      </c>
      <c r="F2318" s="3" t="str">
        <f>"by Mark Parisi"</f>
        <v>by Mark Parisi</v>
      </c>
      <c r="G2318" s="3" t="str">
        <f>"Harper"</f>
        <v>Harper</v>
      </c>
      <c r="H2318" s="2" t="str">
        <f>"2018"</f>
        <v>2018</v>
      </c>
      <c r="I2318" s="3" t="str">
        <f>""</f>
        <v/>
      </c>
    </row>
    <row r="2319" spans="1:9" x14ac:dyDescent="0.3">
      <c r="A2319" s="2">
        <v>2318</v>
      </c>
      <c r="B2319" s="4" t="s">
        <v>35</v>
      </c>
      <c r="C2319" s="3" t="str">
        <f>"TFC000004201"</f>
        <v>TFC000004201</v>
      </c>
      <c r="D2319" s="3" t="str">
        <f>"F800-22-0038-(AR 3.4)=2"</f>
        <v>F800-22-0038-(AR 3.4)=2</v>
      </c>
      <c r="E2319" s="3" t="str">
        <f>"Hello lighthouse"</f>
        <v>Hello lighthouse</v>
      </c>
      <c r="F2319" s="3" t="str">
        <f>"by Sophie Blackall"</f>
        <v>by Sophie Blackall</v>
      </c>
      <c r="G2319" s="3" t="str">
        <f>"Little, Brown and Company"</f>
        <v>Little, Brown and Company</v>
      </c>
      <c r="H2319" s="2" t="str">
        <f>"2018"</f>
        <v>2018</v>
      </c>
      <c r="I2319" s="2" t="s">
        <v>2</v>
      </c>
    </row>
    <row r="2320" spans="1:9" x14ac:dyDescent="0.3">
      <c r="A2320" s="2">
        <v>2319</v>
      </c>
      <c r="B2320" s="4" t="s">
        <v>35</v>
      </c>
      <c r="C2320" s="3" t="str">
        <f>"TFC000001479"</f>
        <v>TFC000001479</v>
      </c>
      <c r="D2320" s="3" t="str">
        <f>"F800-20-1652-(AR 3.4)"</f>
        <v>F800-20-1652-(AR 3.4)</v>
      </c>
      <c r="E2320" s="3" t="str">
        <f>"(A)midsummer night's dream"</f>
        <v>(A)midsummer night's dream</v>
      </c>
      <c r="F2320" s="3" t="str">
        <f>"based on the play by William Shakespeare ; retold by Lesley Sims ; illustrated by Serena Riglietti"</f>
        <v>based on the play by William Shakespeare ; retold by Lesley Sims ; illustrated by Serena Riglietti</v>
      </c>
      <c r="G2320" s="3" t="str">
        <f>"Usborne"</f>
        <v>Usborne</v>
      </c>
      <c r="H2320" s="2" t="str">
        <f>"2007"</f>
        <v>2007</v>
      </c>
      <c r="I2320" s="2" t="s">
        <v>2</v>
      </c>
    </row>
    <row r="2321" spans="1:9" x14ac:dyDescent="0.3">
      <c r="A2321" s="2">
        <v>2320</v>
      </c>
      <c r="B2321" s="4" t="s">
        <v>35</v>
      </c>
      <c r="C2321" s="3" t="str">
        <f>"TFC000001547"</f>
        <v>TFC000001547</v>
      </c>
      <c r="D2321" s="3" t="str">
        <f>"F800-20-1720-(AR 3.4)"</f>
        <v>F800-20-1720-(AR 3.4)</v>
      </c>
      <c r="E2321" s="3" t="str">
        <f>"Stories of snowmen"</f>
        <v>Stories of snowmen</v>
      </c>
      <c r="F2321" s="3" t="str">
        <f>"retold by Russell Punter ; illustrated by Philip Webb"</f>
        <v>retold by Russell Punter ; illustrated by Philip Webb</v>
      </c>
      <c r="G2321" s="3" t="str">
        <f>"Usborne"</f>
        <v>Usborne</v>
      </c>
      <c r="H2321" s="2" t="str">
        <f>"2007"</f>
        <v>2007</v>
      </c>
      <c r="I2321" s="2" t="s">
        <v>2</v>
      </c>
    </row>
    <row r="2322" spans="1:9" x14ac:dyDescent="0.3">
      <c r="A2322" s="2">
        <v>2321</v>
      </c>
      <c r="B2322" s="4" t="s">
        <v>35</v>
      </c>
      <c r="C2322" s="3" t="str">
        <f>"TFC000001515"</f>
        <v>TFC000001515</v>
      </c>
      <c r="D2322" s="3" t="str">
        <f>"F800-20-1688-(AR 3.4)"</f>
        <v>F800-20-1688-(AR 3.4)</v>
      </c>
      <c r="E2322" s="3" t="str">
        <f>"(The)secret garden"</f>
        <v>(The)secret garden</v>
      </c>
      <c r="F2322" s="3" t="str">
        <f>"Frances Hodgson Burnett ; adapted by Mary Sebag-Montefiore ; illustrated by Alan Marks ; reading consultant,  Alison Kelly"</f>
        <v>Frances Hodgson Burnett ; adapted by Mary Sebag-Montefiore ; illustrated by Alan Marks ; reading consultant,  Alison Kelly</v>
      </c>
      <c r="G2322" s="3" t="str">
        <f>"Usborne"</f>
        <v>Usborne</v>
      </c>
      <c r="H2322" s="2" t="str">
        <f>"2008"</f>
        <v>2008</v>
      </c>
      <c r="I2322" s="2" t="s">
        <v>2</v>
      </c>
    </row>
    <row r="2323" spans="1:9" x14ac:dyDescent="0.3">
      <c r="A2323" s="2">
        <v>2322</v>
      </c>
      <c r="B2323" s="4" t="s">
        <v>35</v>
      </c>
      <c r="C2323" s="3" t="str">
        <f>"TFC000003572"</f>
        <v>TFC000003572</v>
      </c>
      <c r="D2323" s="3" t="str">
        <f>"F800-21-0611-(AR 3.4)"</f>
        <v>F800-21-0611-(AR 3.4)</v>
      </c>
      <c r="E2323" s="3" t="str">
        <f>"Narwhal on a sunny night"</f>
        <v>Narwhal on a sunny night</v>
      </c>
      <c r="F2323" s="3" t="str">
        <f>"by Mary Pope Osborne ; illustrated by AG Ford"</f>
        <v>by Mary Pope Osborne ; illustrated by AG Ford</v>
      </c>
      <c r="G2323" s="3" t="str">
        <f>"Random House"</f>
        <v>Random House</v>
      </c>
      <c r="H2323" s="2" t="str">
        <f>"2020"</f>
        <v>2020</v>
      </c>
      <c r="I2323" s="3" t="str">
        <f>""</f>
        <v/>
      </c>
    </row>
    <row r="2324" spans="1:9" x14ac:dyDescent="0.3">
      <c r="A2324" s="2">
        <v>2323</v>
      </c>
      <c r="B2324" s="4" t="s">
        <v>35</v>
      </c>
      <c r="C2324" s="3" t="str">
        <f>"TFC000001474"</f>
        <v>TFC000001474</v>
      </c>
      <c r="D2324" s="3" t="str">
        <f>"F200-20-1646-(AR 3.4)"</f>
        <v>F200-20-1646-(AR 3.4)</v>
      </c>
      <c r="E2324" s="3" t="str">
        <f>"(The)trojan horse : how to Greeks won the wars"</f>
        <v>(The)trojan horse : how to Greeks won the wars</v>
      </c>
      <c r="F2324" s="3" t="str">
        <f>"by Emily Little ; illustrated by Michael Eagle"</f>
        <v>by Emily Little ; illustrated by Michael Eagle</v>
      </c>
      <c r="G2324" s="3" t="str">
        <f>"Random House"</f>
        <v>Random House</v>
      </c>
      <c r="H2324" s="2" t="str">
        <f>"1988"</f>
        <v>1988</v>
      </c>
      <c r="I2324" s="3" t="str">
        <f>""</f>
        <v/>
      </c>
    </row>
    <row r="2325" spans="1:9" x14ac:dyDescent="0.3">
      <c r="A2325" s="2">
        <v>2324</v>
      </c>
      <c r="B2325" s="4" t="s">
        <v>35</v>
      </c>
      <c r="C2325" s="3" t="str">
        <f>"TFC000001475"</f>
        <v>TFC000001475</v>
      </c>
      <c r="D2325" s="3" t="str">
        <f>"F300-20-1647-(AR 3.4)"</f>
        <v>F300-20-1647-(AR 3.4)</v>
      </c>
      <c r="E2325" s="3" t="str">
        <f>"Tsunami!"</f>
        <v>Tsunami!</v>
      </c>
      <c r="F2325" s="3" t="str">
        <f>"Kimiko Kajikawa ; illustrated by Ed Young"</f>
        <v>Kimiko Kajikawa ; illustrated by Ed Young</v>
      </c>
      <c r="G2325" s="3" t="str">
        <f>"Philomel Books"</f>
        <v>Philomel Books</v>
      </c>
      <c r="H2325" s="2" t="str">
        <f>"2009"</f>
        <v>2009</v>
      </c>
      <c r="I2325" s="3" t="str">
        <f>""</f>
        <v/>
      </c>
    </row>
    <row r="2326" spans="1:9" x14ac:dyDescent="0.3">
      <c r="A2326" s="2">
        <v>2325</v>
      </c>
      <c r="B2326" s="4" t="s">
        <v>35</v>
      </c>
      <c r="C2326" s="3" t="str">
        <f>"TFC000001476"</f>
        <v>TFC000001476</v>
      </c>
      <c r="D2326" s="3" t="str">
        <f>"F400-20-1648-(AR 3.4)"</f>
        <v>F400-20-1648-(AR 3.4)</v>
      </c>
      <c r="E2326" s="3" t="str">
        <f>"(The)sun is kind of a big deal"</f>
        <v>(The)sun is kind of a big deal</v>
      </c>
      <c r="F2326" s="3" t="str">
        <f>"Nick Seluk"</f>
        <v>Nick Seluk</v>
      </c>
      <c r="G2326" s="3" t="str">
        <f>"Orchard Books"</f>
        <v>Orchard Books</v>
      </c>
      <c r="H2326" s="2" t="str">
        <f>"2018"</f>
        <v>2018</v>
      </c>
      <c r="I2326" s="3" t="str">
        <f>""</f>
        <v/>
      </c>
    </row>
    <row r="2327" spans="1:9" x14ac:dyDescent="0.3">
      <c r="A2327" s="2">
        <v>2326</v>
      </c>
      <c r="B2327" s="4" t="s">
        <v>35</v>
      </c>
      <c r="C2327" s="3" t="str">
        <f>"TFC000001477"</f>
        <v>TFC000001477</v>
      </c>
      <c r="D2327" s="3" t="str">
        <f>"F400-20-1649-(AR 3.4)"</f>
        <v>F400-20-1649-(AR 3.4)</v>
      </c>
      <c r="E2327" s="3" t="str">
        <f>"From seed to plant"</f>
        <v>From seed to plant</v>
      </c>
      <c r="F2327" s="3" t="str">
        <f>"by Gail Gibbons"</f>
        <v>by Gail Gibbons</v>
      </c>
      <c r="G2327" s="3" t="str">
        <f>"Holiday House"</f>
        <v>Holiday House</v>
      </c>
      <c r="H2327" s="2" t="str">
        <f>"2019"</f>
        <v>2019</v>
      </c>
      <c r="I2327" s="3" t="str">
        <f>""</f>
        <v/>
      </c>
    </row>
    <row r="2328" spans="1:9" x14ac:dyDescent="0.3">
      <c r="A2328" s="2">
        <v>2327</v>
      </c>
      <c r="B2328" s="4" t="s">
        <v>35</v>
      </c>
      <c r="C2328" s="3" t="str">
        <f>"TFC000001478"</f>
        <v>TFC000001478</v>
      </c>
      <c r="D2328" s="3" t="str">
        <f>"F400-20-1650-(AR 3.4)"</f>
        <v>F400-20-1650-(AR 3.4)</v>
      </c>
      <c r="E2328" s="3" t="str">
        <f>"Killer whale vs Great white shark"</f>
        <v>Killer whale vs Great white shark</v>
      </c>
      <c r="F2328" s="3" t="str">
        <f>"by Jerry Pallotta ; illustrated by Rob Bolster"</f>
        <v>by Jerry Pallotta ; illustrated by Rob Bolster</v>
      </c>
      <c r="G2328" s="3" t="str">
        <f>"Scholastic"</f>
        <v>Scholastic</v>
      </c>
      <c r="H2328" s="2" t="str">
        <f>"2009"</f>
        <v>2009</v>
      </c>
      <c r="I2328" s="3" t="str">
        <f>""</f>
        <v/>
      </c>
    </row>
    <row r="2329" spans="1:9" x14ac:dyDescent="0.3">
      <c r="A2329" s="2">
        <v>2328</v>
      </c>
      <c r="B2329" s="4" t="s">
        <v>35</v>
      </c>
      <c r="C2329" s="3" t="str">
        <f>"TFC000001480"</f>
        <v>TFC000001480</v>
      </c>
      <c r="D2329" s="3" t="str">
        <f>"F800-20-1653-(AR 3.4)"</f>
        <v>F800-20-1653-(AR 3.4)</v>
      </c>
      <c r="E2329" s="3" t="str">
        <f>"Arthur rocks with Binky"</f>
        <v>Arthur rocks with Binky</v>
      </c>
      <c r="F2329" s="3" t="str">
        <f>"by Marc Brown ; text by Stephen Krensky"</f>
        <v>by Marc Brown ; text by Stephen Krensky</v>
      </c>
      <c r="G2329" s="3" t="str">
        <f>"Little, Brown"</f>
        <v>Little, Brown</v>
      </c>
      <c r="H2329" s="2" t="str">
        <f>"2012"</f>
        <v>2012</v>
      </c>
      <c r="I2329" s="3" t="str">
        <f>""</f>
        <v/>
      </c>
    </row>
    <row r="2330" spans="1:9" x14ac:dyDescent="0.3">
      <c r="A2330" s="2">
        <v>2329</v>
      </c>
      <c r="B2330" s="4" t="s">
        <v>35</v>
      </c>
      <c r="C2330" s="3" t="str">
        <f>"TFC000001481"</f>
        <v>TFC000001481</v>
      </c>
      <c r="D2330" s="3" t="str">
        <f>"F800-20-1654-(AR 3.4)"</f>
        <v>F800-20-1654-(AR 3.4)</v>
      </c>
      <c r="E2330" s="3" t="str">
        <f>"Arthur and the poetry contest"</f>
        <v>Arthur and the poetry contest</v>
      </c>
      <c r="F2330" s="3" t="str">
        <f>"by Marc Brown ; text by Stephen Krensky"</f>
        <v>by Marc Brown ; text by Stephen Krensky</v>
      </c>
      <c r="G2330" s="3" t="str">
        <f>"Little, Brown"</f>
        <v>Little, Brown</v>
      </c>
      <c r="H2330" s="2" t="str">
        <f>"2012"</f>
        <v>2012</v>
      </c>
      <c r="I2330" s="3" t="str">
        <f>""</f>
        <v/>
      </c>
    </row>
    <row r="2331" spans="1:9" x14ac:dyDescent="0.3">
      <c r="A2331" s="2">
        <v>2330</v>
      </c>
      <c r="B2331" s="4" t="s">
        <v>35</v>
      </c>
      <c r="C2331" s="3" t="str">
        <f>"TFC000001482"</f>
        <v>TFC000001482</v>
      </c>
      <c r="D2331" s="3" t="str">
        <f>"F800-20-1655-(AR 3.4)"</f>
        <v>F800-20-1655-(AR 3.4)</v>
      </c>
      <c r="E2331" s="3" t="str">
        <f>"(The)stories Julian tells"</f>
        <v>(The)stories Julian tells</v>
      </c>
      <c r="F2331" s="3" t="str">
        <f>"by Ann Cameron ; illustrated by Ann Strugnell"</f>
        <v>by Ann Cameron ; illustrated by Ann Strugnell</v>
      </c>
      <c r="G2331" s="3" t="str">
        <f>"Random House"</f>
        <v>Random House</v>
      </c>
      <c r="H2331" s="2" t="str">
        <f>"2006"</f>
        <v>2006</v>
      </c>
      <c r="I2331" s="3" t="str">
        <f>""</f>
        <v/>
      </c>
    </row>
    <row r="2332" spans="1:9" x14ac:dyDescent="0.3">
      <c r="A2332" s="2">
        <v>2331</v>
      </c>
      <c r="B2332" s="4" t="s">
        <v>35</v>
      </c>
      <c r="C2332" s="3" t="str">
        <f>"TFC000001483"</f>
        <v>TFC000001483</v>
      </c>
      <c r="D2332" s="3" t="str">
        <f>"F800-20-1656-(AR 3.4)"</f>
        <v>F800-20-1656-(AR 3.4)</v>
      </c>
      <c r="E2332" s="3" t="str">
        <f>"Nana upstairs &amp; Nana downstairs"</f>
        <v>Nana upstairs &amp; Nana downstairs</v>
      </c>
      <c r="F2332" s="3" t="str">
        <f>"Tomie DePaola"</f>
        <v>Tomie DePaola</v>
      </c>
      <c r="G2332" s="3" t="str">
        <f>"Puffin Books"</f>
        <v>Puffin Books</v>
      </c>
      <c r="H2332" s="2" t="str">
        <f>"2000"</f>
        <v>2000</v>
      </c>
      <c r="I2332" s="3" t="str">
        <f>""</f>
        <v/>
      </c>
    </row>
    <row r="2333" spans="1:9" x14ac:dyDescent="0.3">
      <c r="A2333" s="2">
        <v>2332</v>
      </c>
      <c r="B2333" s="4" t="s">
        <v>35</v>
      </c>
      <c r="C2333" s="3" t="str">
        <f>"TFC000001484"</f>
        <v>TFC000001484</v>
      </c>
      <c r="D2333" s="3" t="str">
        <f>"F800-20-1657-(AR 3.4)"</f>
        <v>F800-20-1657-(AR 3.4)</v>
      </c>
      <c r="E2333" s="3" t="str">
        <f>"Great-grandpa's in the litter box"</f>
        <v>Great-grandpa's in the litter box</v>
      </c>
      <c r="F2333" s="3" t="str">
        <f>"by Dan Greenburg ; illustrated by Jack E. Davis"</f>
        <v>by Dan Greenburg ; illustrated by Jack E. Davis</v>
      </c>
      <c r="G2333" s="3" t="str">
        <f>"Grosset &amp; Dunlap"</f>
        <v>Grosset &amp; Dunlap</v>
      </c>
      <c r="H2333" s="2" t="str">
        <f>"1996"</f>
        <v>1996</v>
      </c>
      <c r="I2333" s="3" t="str">
        <f>""</f>
        <v/>
      </c>
    </row>
    <row r="2334" spans="1:9" x14ac:dyDescent="0.3">
      <c r="A2334" s="2">
        <v>2333</v>
      </c>
      <c r="B2334" s="4" t="s">
        <v>35</v>
      </c>
      <c r="C2334" s="3" t="str">
        <f>"TFC000001485"</f>
        <v>TFC000001485</v>
      </c>
      <c r="D2334" s="3" t="str">
        <f>"F800-20-1658-(AR 3.4)"</f>
        <v>F800-20-1658-(AR 3.4)</v>
      </c>
      <c r="E2334" s="3" t="str">
        <f>"How to speak dolphin in three easy lessons"</f>
        <v>How to speak dolphin in three easy lessons</v>
      </c>
      <c r="F2334" s="3" t="str">
        <f>"by Dan Greenburg ; illustrated by Jack E.Davis"</f>
        <v>by Dan Greenburg ; illustrated by Jack E.Davis</v>
      </c>
      <c r="G2334" s="3" t="str">
        <f>"Grosset &amp; Dunlap"</f>
        <v>Grosset &amp; Dunlap</v>
      </c>
      <c r="H2334" s="2" t="str">
        <f>"1997"</f>
        <v>1997</v>
      </c>
      <c r="I2334" s="3" t="str">
        <f>""</f>
        <v/>
      </c>
    </row>
    <row r="2335" spans="1:9" x14ac:dyDescent="0.3">
      <c r="A2335" s="2">
        <v>2334</v>
      </c>
      <c r="B2335" s="4" t="s">
        <v>35</v>
      </c>
      <c r="C2335" s="3" t="str">
        <f>"TFC000001486"</f>
        <v>TFC000001486</v>
      </c>
      <c r="D2335" s="3" t="str">
        <f>"F800-20-1659-(AR 3.4)"</f>
        <v>F800-20-1659-(AR 3.4)</v>
      </c>
      <c r="E2335" s="3" t="str">
        <f>"Don't count on Dracula"</f>
        <v>Don't count on Dracula</v>
      </c>
      <c r="F2335" s="3" t="str">
        <f>"by Dan Greenburg ; illustrated by Jack E. Davis"</f>
        <v>by Dan Greenburg ; illustrated by Jack E. Davis</v>
      </c>
      <c r="G2335" s="3" t="str">
        <f>"Grosset &amp; Dunlap"</f>
        <v>Grosset &amp; Dunlap</v>
      </c>
      <c r="H2335" s="2" t="str">
        <f>"1999"</f>
        <v>1999</v>
      </c>
      <c r="I2335" s="3" t="str">
        <f>""</f>
        <v/>
      </c>
    </row>
    <row r="2336" spans="1:9" x14ac:dyDescent="0.3">
      <c r="A2336" s="2">
        <v>2335</v>
      </c>
      <c r="B2336" s="4" t="s">
        <v>35</v>
      </c>
      <c r="C2336" s="3" t="str">
        <f>"TFC000001487"</f>
        <v>TFC000001487</v>
      </c>
      <c r="D2336" s="3" t="str">
        <f>"F800-20-1660-(AR 3.4)"</f>
        <v>F800-20-1660-(AR 3.4)</v>
      </c>
      <c r="E2336" s="3" t="str">
        <f>"My grandma, major-league slugger"</f>
        <v>My grandma, major-league slugger</v>
      </c>
      <c r="F2336" s="3" t="str">
        <f>"by Dan Greenburg ; illustrated by Jack E. Davis"</f>
        <v>by Dan Greenburg ; illustrated by Jack E. Davis</v>
      </c>
      <c r="G2336" s="3" t="str">
        <f>"Grosset &amp; Dunlap"</f>
        <v>Grosset &amp; Dunlap</v>
      </c>
      <c r="H2336" s="2" t="str">
        <f>"2006"</f>
        <v>2006</v>
      </c>
      <c r="I2336" s="3" t="str">
        <f>""</f>
        <v/>
      </c>
    </row>
    <row r="2337" spans="1:9" x14ac:dyDescent="0.3">
      <c r="A2337" s="2">
        <v>2336</v>
      </c>
      <c r="B2337" s="4" t="s">
        <v>35</v>
      </c>
      <c r="C2337" s="3" t="str">
        <f>"TFC000001488"</f>
        <v>TFC000001488</v>
      </c>
      <c r="D2337" s="3" t="str">
        <f>"F800-20-1661-(AR 3.4)"</f>
        <v>F800-20-1661-(AR 3.4)</v>
      </c>
      <c r="E2337" s="3" t="str">
        <f>"My teacher ate my homework"</f>
        <v>My teacher ate my homework</v>
      </c>
      <c r="F2337" s="3" t="str">
        <f>"by Dan Greenburg ; illustrated by Jack E. Davis"</f>
        <v>by Dan Greenburg ; illustrated by Jack E. Davis</v>
      </c>
      <c r="G2337" s="3" t="str">
        <f>"Grosset &amp; Dunlap"</f>
        <v>Grosset &amp; Dunlap</v>
      </c>
      <c r="H2337" s="2" t="str">
        <f>"2002"</f>
        <v>2002</v>
      </c>
      <c r="I2337" s="3" t="str">
        <f>""</f>
        <v/>
      </c>
    </row>
    <row r="2338" spans="1:9" x14ac:dyDescent="0.3">
      <c r="A2338" s="2">
        <v>2337</v>
      </c>
      <c r="B2338" s="4" t="s">
        <v>35</v>
      </c>
      <c r="C2338" s="3" t="str">
        <f>"TFC000001490"</f>
        <v>TFC000001490</v>
      </c>
      <c r="D2338" s="3" t="str">
        <f>"F800-20-1663-(AR 3.4)"</f>
        <v>F800-20-1663-(AR 3.4)</v>
      </c>
      <c r="E2338" s="3" t="str">
        <f>"(The)music of dolphins"</f>
        <v>(The)music of dolphins</v>
      </c>
      <c r="F2338" s="3" t="str">
        <f>"Karen Hesse"</f>
        <v>Karen Hesse</v>
      </c>
      <c r="G2338" s="3" t="str">
        <f>"Scholastic"</f>
        <v>Scholastic</v>
      </c>
      <c r="H2338" s="2" t="str">
        <f>"2005"</f>
        <v>2005</v>
      </c>
      <c r="I2338" s="3" t="str">
        <f>""</f>
        <v/>
      </c>
    </row>
    <row r="2339" spans="1:9" x14ac:dyDescent="0.3">
      <c r="A2339" s="2">
        <v>2338</v>
      </c>
      <c r="B2339" s="4" t="s">
        <v>35</v>
      </c>
      <c r="C2339" s="3" t="str">
        <f>"TFC000001491"</f>
        <v>TFC000001491</v>
      </c>
      <c r="D2339" s="3" t="str">
        <f>"F800-20-1664-(AR 3.4)"</f>
        <v>F800-20-1664-(AR 3.4)</v>
      </c>
      <c r="E2339" s="3" t="str">
        <f>"Bread and jam for Frances"</f>
        <v>Bread and jam for Frances</v>
      </c>
      <c r="F2339" s="3" t="str">
        <f>"by Russell Hoban ; pictures by Lillian Hoban"</f>
        <v>by Russell Hoban ; pictures by Lillian Hoban</v>
      </c>
      <c r="G2339" s="3" t="str">
        <f>"HarperCollins Publishers"</f>
        <v>HarperCollins Publishers</v>
      </c>
      <c r="H2339" s="2" t="str">
        <f>"2008"</f>
        <v>2008</v>
      </c>
      <c r="I2339" s="3" t="str">
        <f>""</f>
        <v/>
      </c>
    </row>
    <row r="2340" spans="1:9" x14ac:dyDescent="0.3">
      <c r="A2340" s="2">
        <v>2339</v>
      </c>
      <c r="B2340" s="4" t="s">
        <v>35</v>
      </c>
      <c r="C2340" s="3" t="str">
        <f>"TFC000001492"</f>
        <v>TFC000001492</v>
      </c>
      <c r="D2340" s="3" t="str">
        <f>"F800-20-1665-(AR 3.4)"</f>
        <v>F800-20-1665-(AR 3.4)</v>
      </c>
      <c r="E2340" s="3" t="str">
        <f>"(The)hello, goodbye window"</f>
        <v>(The)hello, goodbye window</v>
      </c>
      <c r="F2340" s="3" t="str">
        <f>"story by Norton Juster ; pictures by Chris Raschka"</f>
        <v>story by Norton Juster ; pictures by Chris Raschka</v>
      </c>
      <c r="G2340" s="3" t="str">
        <f>"Michael di Capua Books"</f>
        <v>Michael di Capua Books</v>
      </c>
      <c r="H2340" s="2" t="str">
        <f>"2005"</f>
        <v>2005</v>
      </c>
      <c r="I2340" s="3" t="str">
        <f>""</f>
        <v/>
      </c>
    </row>
    <row r="2341" spans="1:9" x14ac:dyDescent="0.3">
      <c r="A2341" s="2">
        <v>2340</v>
      </c>
      <c r="B2341" s="4" t="s">
        <v>35</v>
      </c>
      <c r="C2341" s="3" t="str">
        <f>"TFC000001493"</f>
        <v>TFC000001493</v>
      </c>
      <c r="D2341" s="3" t="str">
        <f>"F800-20-1666-(AR 3.4)"</f>
        <v>F800-20-1666-(AR 3.4)</v>
      </c>
      <c r="E2341" s="3" t="str">
        <f>"(An)extraordinary egg"</f>
        <v>(An)extraordinary egg</v>
      </c>
      <c r="F2341" s="3" t="str">
        <f>"By Leo Lionni"</f>
        <v>By Leo Lionni</v>
      </c>
      <c r="G2341" s="3" t="str">
        <f>"Dragonfly Books"</f>
        <v>Dragonfly Books</v>
      </c>
      <c r="H2341" s="2" t="str">
        <f>"1994"</f>
        <v>1994</v>
      </c>
      <c r="I2341" s="3" t="str">
        <f>""</f>
        <v/>
      </c>
    </row>
    <row r="2342" spans="1:9" x14ac:dyDescent="0.3">
      <c r="A2342" s="2">
        <v>2341</v>
      </c>
      <c r="B2342" s="4" t="s">
        <v>35</v>
      </c>
      <c r="C2342" s="3" t="str">
        <f>"TFC000001494"</f>
        <v>TFC000001494</v>
      </c>
      <c r="D2342" s="3" t="str">
        <f>"F800-20-1667-(AR 3.4)"</f>
        <v>F800-20-1667-(AR 3.4)</v>
      </c>
      <c r="E2342" s="3" t="str">
        <f>"Black and white"</f>
        <v>Black and white</v>
      </c>
      <c r="F2342" s="3" t="str">
        <f>"David Macaulay"</f>
        <v>David Macaulay</v>
      </c>
      <c r="G2342" s="3" t="str">
        <f>"Houghton Mifflin Company"</f>
        <v>Houghton Mifflin Company</v>
      </c>
      <c r="H2342" s="2" t="str">
        <f>"1990"</f>
        <v>1990</v>
      </c>
      <c r="I2342" s="3" t="str">
        <f>""</f>
        <v/>
      </c>
    </row>
    <row r="2343" spans="1:9" x14ac:dyDescent="0.3">
      <c r="A2343" s="2">
        <v>2342</v>
      </c>
      <c r="B2343" s="4" t="s">
        <v>35</v>
      </c>
      <c r="C2343" s="3" t="str">
        <f>"TFC000001495"</f>
        <v>TFC000001495</v>
      </c>
      <c r="D2343" s="3" t="str">
        <f>"F800-20-1668-(AR 3.4)"</f>
        <v>F800-20-1668-(AR 3.4)</v>
      </c>
      <c r="E2343" s="3" t="str">
        <f>"Love you forever"</f>
        <v>Love you forever</v>
      </c>
      <c r="F2343" s="3" t="str">
        <f>"written by Robert Munsch ; illustrated by Sheila McGraw"</f>
        <v>written by Robert Munsch ; illustrated by Sheila McGraw</v>
      </c>
      <c r="G2343" s="3" t="str">
        <f>"Firefly Books"</f>
        <v>Firefly Books</v>
      </c>
      <c r="H2343" s="2" t="str">
        <f>"2018"</f>
        <v>2018</v>
      </c>
      <c r="I2343" s="3" t="str">
        <f>""</f>
        <v/>
      </c>
    </row>
    <row r="2344" spans="1:9" x14ac:dyDescent="0.3">
      <c r="A2344" s="2">
        <v>2343</v>
      </c>
      <c r="B2344" s="4" t="s">
        <v>35</v>
      </c>
      <c r="C2344" s="3" t="str">
        <f>"TFC000001496"</f>
        <v>TFC000001496</v>
      </c>
      <c r="D2344" s="3" t="str">
        <f>"F800-20-1669-(AR 3.4)"</f>
        <v>F800-20-1669-(AR 3.4)</v>
      </c>
      <c r="E2344" s="3" t="str">
        <f>"Dear Juno"</f>
        <v>Dear Juno</v>
      </c>
      <c r="F2344" s="3" t="str">
        <f>"by Soyung Pak ; illustrated by Susan Kathleen Hartung"</f>
        <v>by Soyung Pak ; illustrated by Susan Kathleen Hartung</v>
      </c>
      <c r="G2344" s="3" t="str">
        <f>"Puffin Books"</f>
        <v>Puffin Books</v>
      </c>
      <c r="H2344" s="2" t="str">
        <f>"1999"</f>
        <v>1999</v>
      </c>
      <c r="I2344" s="3" t="str">
        <f>""</f>
        <v/>
      </c>
    </row>
    <row r="2345" spans="1:9" x14ac:dyDescent="0.3">
      <c r="A2345" s="2">
        <v>2344</v>
      </c>
      <c r="B2345" s="4" t="s">
        <v>35</v>
      </c>
      <c r="C2345" s="3" t="str">
        <f>"TFC000001497"</f>
        <v>TFC000001497</v>
      </c>
      <c r="D2345" s="3" t="str">
        <f>"F800-20-1670-(AR 3.4)"</f>
        <v>F800-20-1670-(AR 3.4)</v>
      </c>
      <c r="E2345" s="3" t="str">
        <f>"Officer buckle and Gloria"</f>
        <v>Officer buckle and Gloria</v>
      </c>
      <c r="F2345" s="3" t="str">
        <f>"Peggy Rathmann"</f>
        <v>Peggy Rathmann</v>
      </c>
      <c r="G2345" s="3" t="str">
        <f>"G.P.Putnam's Sons"</f>
        <v>G.P.Putnam's Sons</v>
      </c>
      <c r="H2345" s="2" t="str">
        <f>"1995"</f>
        <v>1995</v>
      </c>
      <c r="I2345" s="3" t="str">
        <f>""</f>
        <v/>
      </c>
    </row>
    <row r="2346" spans="1:9" x14ac:dyDescent="0.3">
      <c r="A2346" s="2">
        <v>2345</v>
      </c>
      <c r="B2346" s="4" t="s">
        <v>35</v>
      </c>
      <c r="C2346" s="3" t="str">
        <f>"TFC000001498"</f>
        <v>TFC000001498</v>
      </c>
      <c r="D2346" s="3" t="str">
        <f>"F800-20-1671-(AR 3.4)"</f>
        <v>F800-20-1671-(AR 3.4)</v>
      </c>
      <c r="E2346" s="3" t="str">
        <f>"(Margret &amp; H.A. Rey's)Curious George and the pizza party"</f>
        <v>(Margret &amp; H.A. Rey's)Curious George and the pizza party</v>
      </c>
      <c r="F2346" s="3" t="str">
        <f>"H.A. Rey, Margret Rey ; written by Cynthia Platt ; illustrated in the style of H.A. Rey by Mary O'Keefe Young"</f>
        <v>H.A. Rey, Margret Rey ; written by Cynthia Platt ; illustrated in the style of H.A. Rey by Mary O'Keefe Young</v>
      </c>
      <c r="G2346" s="3" t="str">
        <f>"Houghton Mifflin Harcourt"</f>
        <v>Houghton Mifflin Harcourt</v>
      </c>
      <c r="H2346" s="2" t="str">
        <f>"2013"</f>
        <v>2013</v>
      </c>
      <c r="I2346" s="3" t="str">
        <f>""</f>
        <v/>
      </c>
    </row>
    <row r="2347" spans="1:9" x14ac:dyDescent="0.3">
      <c r="A2347" s="2">
        <v>2346</v>
      </c>
      <c r="B2347" s="4" t="s">
        <v>35</v>
      </c>
      <c r="C2347" s="3" t="str">
        <f>"TFC000001499"</f>
        <v>TFC000001499</v>
      </c>
      <c r="D2347" s="3" t="str">
        <f>"F800-20-1672-(AR 3.4)"</f>
        <v>F800-20-1672-(AR 3.4)</v>
      </c>
      <c r="E2347" s="3" t="str">
        <f>"(The)canary Caper"</f>
        <v>(The)canary Caper</v>
      </c>
      <c r="F2347" s="3" t="str">
        <f>"by Ron Roy ; illustrated by John Steven Gurney"</f>
        <v>by Ron Roy ; illustrated by John Steven Gurney</v>
      </c>
      <c r="G2347" s="3" t="str">
        <f>"Random House"</f>
        <v>Random House</v>
      </c>
      <c r="H2347" s="2" t="str">
        <f>"2015"</f>
        <v>2015</v>
      </c>
      <c r="I2347" s="3" t="str">
        <f>""</f>
        <v/>
      </c>
    </row>
    <row r="2348" spans="1:9" x14ac:dyDescent="0.3">
      <c r="A2348" s="2">
        <v>2347</v>
      </c>
      <c r="B2348" s="4" t="s">
        <v>35</v>
      </c>
      <c r="C2348" s="3" t="str">
        <f>"TFC000001500"</f>
        <v>TFC000001500</v>
      </c>
      <c r="D2348" s="3" t="str">
        <f>"F800-20-1673-(AR 3.4)"</f>
        <v>F800-20-1673-(AR 3.4)</v>
      </c>
      <c r="E2348" s="3" t="str">
        <f>"Where the wild things are"</f>
        <v>Where the wild things are</v>
      </c>
      <c r="F2348" s="3" t="str">
        <f>"by Maurice Sendak"</f>
        <v>by Maurice Sendak</v>
      </c>
      <c r="G2348" s="3" t="str">
        <f>"HarperCollins Publishers"</f>
        <v>HarperCollins Publishers</v>
      </c>
      <c r="H2348" s="2" t="str">
        <f>"2013"</f>
        <v>2013</v>
      </c>
      <c r="I2348" s="3" t="str">
        <f>""</f>
        <v/>
      </c>
    </row>
    <row r="2349" spans="1:9" x14ac:dyDescent="0.3">
      <c r="A2349" s="2">
        <v>2348</v>
      </c>
      <c r="B2349" s="4" t="s">
        <v>35</v>
      </c>
      <c r="C2349" s="3" t="str">
        <f>"TFC000001501"</f>
        <v>TFC000001501</v>
      </c>
      <c r="D2349" s="3" t="str">
        <f>"F800-20-1674-(AR 3.4)"</f>
        <v>F800-20-1674-(AR 3.4)</v>
      </c>
      <c r="E2349" s="3" t="str">
        <f>"Too many tamales"</f>
        <v>Too many tamales</v>
      </c>
      <c r="F2349" s="3" t="str">
        <f>"by Gary Soto ; illustrated by Ed Martinez"</f>
        <v>by Gary Soto ; illustrated by Ed Martinez</v>
      </c>
      <c r="G2349" s="3" t="str">
        <f>"G.P. Putnam's Sons"</f>
        <v>G.P. Putnam's Sons</v>
      </c>
      <c r="H2349" s="2" t="str">
        <f>"1993"</f>
        <v>1993</v>
      </c>
      <c r="I2349" s="3" t="str">
        <f>""</f>
        <v/>
      </c>
    </row>
    <row r="2350" spans="1:9" x14ac:dyDescent="0.3">
      <c r="A2350" s="2">
        <v>2349</v>
      </c>
      <c r="B2350" s="4" t="s">
        <v>35</v>
      </c>
      <c r="C2350" s="3" t="str">
        <f>"TFC000001503"</f>
        <v>TFC000001503</v>
      </c>
      <c r="D2350" s="3" t="str">
        <f>"F800-20-1676-(AR 3.4)"</f>
        <v>F800-20-1676-(AR 3.4)</v>
      </c>
      <c r="E2350" s="3" t="str">
        <f>"(The adventures of)Huckleberry Finn"</f>
        <v>(The adventures of)Huckleberry Finn</v>
      </c>
      <c r="F2350" s="3" t="str">
        <f>"Mark Twain ; retold by Diane Mowat ; illustrated by Paul Fisher Johnson"</f>
        <v>Mark Twain ; retold by Diane Mowat ; illustrated by Paul Fisher Johnson</v>
      </c>
      <c r="G2350" s="3" t="str">
        <f>"Oxford University Press"</f>
        <v>Oxford University Press</v>
      </c>
      <c r="H2350" s="2" t="str">
        <f>"2008"</f>
        <v>2008</v>
      </c>
      <c r="I2350" s="3" t="str">
        <f>""</f>
        <v/>
      </c>
    </row>
    <row r="2351" spans="1:9" x14ac:dyDescent="0.3">
      <c r="A2351" s="2">
        <v>2350</v>
      </c>
      <c r="B2351" s="4" t="s">
        <v>35</v>
      </c>
      <c r="C2351" s="3" t="str">
        <f>"TFC000001514"</f>
        <v>TFC000001514</v>
      </c>
      <c r="D2351" s="3" t="str">
        <f>"F800-20-1687-(AR 3.4)"</f>
        <v>F800-20-1687-(AR 3.4)</v>
      </c>
      <c r="E2351" s="3" t="str">
        <f>"Hello lighthouse"</f>
        <v>Hello lighthouse</v>
      </c>
      <c r="F2351" s="3" t="str">
        <f>"Sophie Blackall"</f>
        <v>Sophie Blackall</v>
      </c>
      <c r="G2351" s="3" t="str">
        <f>"Little, Brown and Company"</f>
        <v>Little, Brown and Company</v>
      </c>
      <c r="H2351" s="2" t="str">
        <f>"2018"</f>
        <v>2018</v>
      </c>
      <c r="I2351" s="3" t="str">
        <f>""</f>
        <v/>
      </c>
    </row>
    <row r="2352" spans="1:9" x14ac:dyDescent="0.3">
      <c r="A2352" s="2">
        <v>2351</v>
      </c>
      <c r="B2352" s="4" t="s">
        <v>35</v>
      </c>
      <c r="C2352" s="3" t="str">
        <f>"TFC000001516"</f>
        <v>TFC000001516</v>
      </c>
      <c r="D2352" s="3" t="str">
        <f>"F800-20-1689-(AR 3.4)"</f>
        <v>F800-20-1689-(AR 3.4)</v>
      </c>
      <c r="E2352" s="3" t="str">
        <f>"Eerie elementary. 1, the school is alive!"</f>
        <v>Eerie elementary. 1, the school is alive!</v>
      </c>
      <c r="F2352" s="3" t="str">
        <f>"by Jack Chabert ; illustrated by Sam Ricks"</f>
        <v>by Jack Chabert ; illustrated by Sam Ricks</v>
      </c>
      <c r="G2352" s="3" t="str">
        <f>"Scholastic"</f>
        <v>Scholastic</v>
      </c>
      <c r="H2352" s="2" t="str">
        <f>"2014"</f>
        <v>2014</v>
      </c>
      <c r="I2352" s="3" t="str">
        <f>""</f>
        <v/>
      </c>
    </row>
    <row r="2353" spans="1:9" x14ac:dyDescent="0.3">
      <c r="A2353" s="2">
        <v>2352</v>
      </c>
      <c r="B2353" s="4" t="s">
        <v>35</v>
      </c>
      <c r="C2353" s="3" t="str">
        <f>"TFC000001517"</f>
        <v>TFC000001517</v>
      </c>
      <c r="D2353" s="3" t="str">
        <f>"F800-20-1690-(AR 3.4)"</f>
        <v>F800-20-1690-(AR 3.4)</v>
      </c>
      <c r="E2353" s="3" t="str">
        <f>"Camp tiger"</f>
        <v>Camp tiger</v>
      </c>
      <c r="F2353" s="3" t="str">
        <f>"written by Susan Choi ; illustrated by John Rocco"</f>
        <v>written by Susan Choi ; illustrated by John Rocco</v>
      </c>
      <c r="G2353" s="3" t="str">
        <f>"G. P. Putnam's Sons"</f>
        <v>G. P. Putnam's Sons</v>
      </c>
      <c r="H2353" s="2" t="str">
        <f>"2019"</f>
        <v>2019</v>
      </c>
      <c r="I2353" s="3" t="str">
        <f>""</f>
        <v/>
      </c>
    </row>
    <row r="2354" spans="1:9" x14ac:dyDescent="0.3">
      <c r="A2354" s="2">
        <v>2353</v>
      </c>
      <c r="B2354" s="4" t="s">
        <v>35</v>
      </c>
      <c r="C2354" s="3" t="str">
        <f>"TFC000001518"</f>
        <v>TFC000001518</v>
      </c>
      <c r="D2354" s="3" t="str">
        <f>"F800-20-1691-(AR 3.4)"</f>
        <v>F800-20-1691-(AR 3.4)</v>
      </c>
      <c r="E2354" s="3" t="str">
        <f>"Farm"</f>
        <v>Farm</v>
      </c>
      <c r="F2354" s="3" t="str">
        <f>"by Elisha Cooper"</f>
        <v>by Elisha Cooper</v>
      </c>
      <c r="G2354" s="3" t="str">
        <f>"Scholastic:Orchard Books"</f>
        <v>Scholastic:Orchard Books</v>
      </c>
      <c r="H2354" s="2" t="str">
        <f>"2010"</f>
        <v>2010</v>
      </c>
      <c r="I2354" s="3" t="str">
        <f>""</f>
        <v/>
      </c>
    </row>
    <row r="2355" spans="1:9" x14ac:dyDescent="0.3">
      <c r="A2355" s="2">
        <v>2354</v>
      </c>
      <c r="B2355" s="4" t="s">
        <v>35</v>
      </c>
      <c r="C2355" s="3" t="str">
        <f>"TFC000001519"</f>
        <v>TFC000001519</v>
      </c>
      <c r="D2355" s="3" t="str">
        <f>"F800-20-1692-(AR 3.4)"</f>
        <v>F800-20-1692-(AR 3.4)</v>
      </c>
      <c r="E2355" s="3" t="str">
        <f>"Yummy : eight favorite fairy tales"</f>
        <v>Yummy : eight favorite fairy tales</v>
      </c>
      <c r="F2355" s="3" t="str">
        <f>"Lucy Cousins"</f>
        <v>Lucy Cousins</v>
      </c>
      <c r="G2355" s="3" t="str">
        <f>"Candlewick Press"</f>
        <v>Candlewick Press</v>
      </c>
      <c r="H2355" s="2" t="str">
        <f>"2009"</f>
        <v>2009</v>
      </c>
      <c r="I2355" s="3" t="str">
        <f>""</f>
        <v/>
      </c>
    </row>
    <row r="2356" spans="1:9" x14ac:dyDescent="0.3">
      <c r="A2356" s="2">
        <v>2355</v>
      </c>
      <c r="B2356" s="4" t="s">
        <v>35</v>
      </c>
      <c r="C2356" s="3" t="str">
        <f>"TFC000001520"</f>
        <v>TFC000001520</v>
      </c>
      <c r="D2356" s="3" t="str">
        <f>"F800-20-1693-(AR 3.4)"</f>
        <v>F800-20-1693-(AR 3.4)</v>
      </c>
      <c r="E2356" s="3" t="str">
        <f>"Cinderella"</f>
        <v>Cinderella</v>
      </c>
      <c r="F2356" s="3" t="str">
        <f>"retold by Susanna Davidson ; illustrated by Fabiano Fiorin"</f>
        <v>retold by Susanna Davidson ; illustrated by Fabiano Fiorin</v>
      </c>
      <c r="G2356" s="3" t="str">
        <f>"Usborne"</f>
        <v>Usborne</v>
      </c>
      <c r="H2356" s="2" t="str">
        <f>"2004"</f>
        <v>2004</v>
      </c>
      <c r="I2356" s="3" t="str">
        <f>""</f>
        <v/>
      </c>
    </row>
    <row r="2357" spans="1:9" x14ac:dyDescent="0.3">
      <c r="A2357" s="2">
        <v>2356</v>
      </c>
      <c r="B2357" s="4" t="s">
        <v>35</v>
      </c>
      <c r="C2357" s="3" t="str">
        <f>"TFC000001521"</f>
        <v>TFC000001521</v>
      </c>
      <c r="D2357" s="3" t="str">
        <f>"F800-20-1694-(AR 3.4)"</f>
        <v>F800-20-1694-(AR 3.4)</v>
      </c>
      <c r="E2357" s="3" t="str">
        <f>"White owl, barn owl"</f>
        <v>White owl, barn owl</v>
      </c>
      <c r="F2357" s="3" t="str">
        <f>"Nicola Davies ; illustrated by Michael Foreman"</f>
        <v>Nicola Davies ; illustrated by Michael Foreman</v>
      </c>
      <c r="G2357" s="3" t="str">
        <f>"Candlewick Press"</f>
        <v>Candlewick Press</v>
      </c>
      <c r="H2357" s="2" t="str">
        <f>"2007"</f>
        <v>2007</v>
      </c>
      <c r="I2357" s="3" t="str">
        <f>""</f>
        <v/>
      </c>
    </row>
    <row r="2358" spans="1:9" x14ac:dyDescent="0.3">
      <c r="A2358" s="2">
        <v>2357</v>
      </c>
      <c r="B2358" s="4" t="s">
        <v>35</v>
      </c>
      <c r="C2358" s="3" t="str">
        <f>"TFC000001522"</f>
        <v>TFC000001522</v>
      </c>
      <c r="D2358" s="3" t="str">
        <f>"F800-20-1695-(AR 3.4)"</f>
        <v>F800-20-1695-(AR 3.4)</v>
      </c>
      <c r="E2358" s="3" t="str">
        <f>"(The)crayons' christmas"</f>
        <v>(The)crayons' christmas</v>
      </c>
      <c r="F2358" s="3" t="str">
        <f>"by Drew Daywalt ; pictures by Oliver Jeffers"</f>
        <v>by Drew Daywalt ; pictures by Oliver Jeffers</v>
      </c>
      <c r="G2358" s="3" t="str">
        <f>"Penguin Workshop"</f>
        <v>Penguin Workshop</v>
      </c>
      <c r="H2358" s="2" t="str">
        <f>"2019"</f>
        <v>2019</v>
      </c>
      <c r="I2358" s="3" t="str">
        <f>""</f>
        <v/>
      </c>
    </row>
    <row r="2359" spans="1:9" x14ac:dyDescent="0.3">
      <c r="A2359" s="2">
        <v>2358</v>
      </c>
      <c r="B2359" s="4" t="s">
        <v>35</v>
      </c>
      <c r="C2359" s="3" t="str">
        <f>"TFC000001523"</f>
        <v>TFC000001523</v>
      </c>
      <c r="D2359" s="3" t="str">
        <f>"F800-20-1696-(AR 3.4)"</f>
        <v>F800-20-1696-(AR 3.4)</v>
      </c>
      <c r="E2359" s="3" t="str">
        <f>"1 zany zoo"</f>
        <v>1 zany zoo</v>
      </c>
      <c r="F2359" s="3" t="str">
        <f>"by Lori Degman ; illustrated by Colin Jack"</f>
        <v>by Lori Degman ; illustrated by Colin Jack</v>
      </c>
      <c r="G2359" s="3" t="str">
        <f>"Simon&amp;Schuster Books for Young Readers"</f>
        <v>Simon&amp;Schuster Books for Young Readers</v>
      </c>
      <c r="H2359" s="2" t="str">
        <f>"2010"</f>
        <v>2010</v>
      </c>
      <c r="I2359" s="3" t="str">
        <f>""</f>
        <v/>
      </c>
    </row>
    <row r="2360" spans="1:9" x14ac:dyDescent="0.3">
      <c r="A2360" s="2">
        <v>2359</v>
      </c>
      <c r="B2360" s="4" t="s">
        <v>35</v>
      </c>
      <c r="C2360" s="3" t="str">
        <f>"TFC000001524"</f>
        <v>TFC000001524</v>
      </c>
      <c r="D2360" s="3" t="str">
        <f>"F800-20-1697-(AR 3.4)"</f>
        <v>F800-20-1697-(AR 3.4)</v>
      </c>
      <c r="E2360" s="3" t="str">
        <f>"If I built a school"</f>
        <v>If I built a school</v>
      </c>
      <c r="F2360" s="3" t="str">
        <f>"Chris Van Dusen"</f>
        <v>Chris Van Dusen</v>
      </c>
      <c r="G2360" s="3" t="str">
        <f>"Dial Books for Young Readers"</f>
        <v>Dial Books for Young Readers</v>
      </c>
      <c r="H2360" s="2" t="str">
        <f>"2019"</f>
        <v>2019</v>
      </c>
      <c r="I2360" s="3" t="str">
        <f>""</f>
        <v/>
      </c>
    </row>
    <row r="2361" spans="1:9" x14ac:dyDescent="0.3">
      <c r="A2361" s="2">
        <v>2360</v>
      </c>
      <c r="B2361" s="4" t="s">
        <v>35</v>
      </c>
      <c r="C2361" s="3" t="str">
        <f>"TFC000001525"</f>
        <v>TFC000001525</v>
      </c>
      <c r="D2361" s="3" t="str">
        <f>"F800-20-1698-(AR 3.4)"</f>
        <v>F800-20-1698-(AR 3.4)</v>
      </c>
      <c r="E2361" s="3" t="str">
        <f>"(A)couple of boys have the best week ever"</f>
        <v>(A)couple of boys have the best week ever</v>
      </c>
      <c r="F2361" s="3" t="str">
        <f>"Marla Frazee"</f>
        <v>Marla Frazee</v>
      </c>
      <c r="G2361" s="3" t="str">
        <f>"Harcourt"</f>
        <v>Harcourt</v>
      </c>
      <c r="H2361" s="2" t="str">
        <f>"2008"</f>
        <v>2008</v>
      </c>
      <c r="I2361" s="3" t="str">
        <f>""</f>
        <v/>
      </c>
    </row>
    <row r="2362" spans="1:9" x14ac:dyDescent="0.3">
      <c r="A2362" s="2">
        <v>2361</v>
      </c>
      <c r="B2362" s="4" t="s">
        <v>35</v>
      </c>
      <c r="C2362" s="3" t="str">
        <f>"TFC000001526"</f>
        <v>TFC000001526</v>
      </c>
      <c r="D2362" s="3" t="str">
        <f>"F800-20-1699-(AR 3.4)"</f>
        <v>F800-20-1699-(AR 3.4)</v>
      </c>
      <c r="E2362" s="3" t="str">
        <f>"(The)fly on the ceiling"</f>
        <v>(The)fly on the ceiling</v>
      </c>
      <c r="F2362" s="3" t="str">
        <f>"by Julie Glass ; illustrated by Richard Walz"</f>
        <v>by Julie Glass ; illustrated by Richard Walz</v>
      </c>
      <c r="G2362" s="3" t="str">
        <f>"Random House"</f>
        <v>Random House</v>
      </c>
      <c r="H2362" s="2" t="str">
        <f>"2004"</f>
        <v>2004</v>
      </c>
      <c r="I2362" s="3" t="str">
        <f>""</f>
        <v/>
      </c>
    </row>
    <row r="2363" spans="1:9" x14ac:dyDescent="0.3">
      <c r="A2363" s="2">
        <v>2362</v>
      </c>
      <c r="B2363" s="4" t="s">
        <v>35</v>
      </c>
      <c r="C2363" s="3" t="str">
        <f>"TFC000001529"</f>
        <v>TFC000001529</v>
      </c>
      <c r="D2363" s="3" t="str">
        <f>"F800-20-1702-(AR 3.4)"</f>
        <v>F800-20-1702-(AR 3.4)</v>
      </c>
      <c r="E2363" s="3" t="str">
        <f>"(The)princess in black and the bathtime battle"</f>
        <v>(The)princess in black and the bathtime battle</v>
      </c>
      <c r="F2363" s="3" t="str">
        <f>"Shannon Hale ; illustrated by Dean Hale"</f>
        <v>Shannon Hale ; illustrated by Dean Hale</v>
      </c>
      <c r="G2363" s="3" t="str">
        <f>"Candlewick Press"</f>
        <v>Candlewick Press</v>
      </c>
      <c r="H2363" s="2" t="str">
        <f>"2019"</f>
        <v>2019</v>
      </c>
      <c r="I2363" s="3" t="str">
        <f>""</f>
        <v/>
      </c>
    </row>
    <row r="2364" spans="1:9" x14ac:dyDescent="0.3">
      <c r="A2364" s="2">
        <v>2363</v>
      </c>
      <c r="B2364" s="4" t="s">
        <v>35</v>
      </c>
      <c r="C2364" s="3" t="str">
        <f>"TFC000001530"</f>
        <v>TFC000001530</v>
      </c>
      <c r="D2364" s="3" t="str">
        <f>"F800-20-1703-(AR 3.4)"</f>
        <v>F800-20-1703-(AR 3.4)</v>
      </c>
      <c r="E2364" s="3" t="str">
        <f>"Ibis : a true whale story"</f>
        <v>Ibis : a true whale story</v>
      </c>
      <c r="F2364" s="3" t="str">
        <f>"by John Himmelman"</f>
        <v>by John Himmelman</v>
      </c>
      <c r="G2364" s="3" t="str">
        <f>"Scholastic"</f>
        <v>Scholastic</v>
      </c>
      <c r="H2364" s="2" t="str">
        <f>"1990"</f>
        <v>1990</v>
      </c>
      <c r="I2364" s="3" t="str">
        <f>""</f>
        <v/>
      </c>
    </row>
    <row r="2365" spans="1:9" x14ac:dyDescent="0.3">
      <c r="A2365" s="2">
        <v>2364</v>
      </c>
      <c r="B2365" s="4" t="s">
        <v>35</v>
      </c>
      <c r="C2365" s="3" t="str">
        <f>"TFC000001531"</f>
        <v>TFC000001531</v>
      </c>
      <c r="D2365" s="3" t="str">
        <f>"F800-20-1704-(AR 3.4)"</f>
        <v>F800-20-1704-(AR 3.4)</v>
      </c>
      <c r="E2365" s="3" t="str">
        <f>"(The)nutcracker"</f>
        <v>(The)nutcracker</v>
      </c>
      <c r="F2365" s="3" t="str">
        <f>"Susan Jeffers"</f>
        <v>Susan Jeffers</v>
      </c>
      <c r="G2365" s="3" t="str">
        <f>"HarperCollins Publishers"</f>
        <v>HarperCollins Publishers</v>
      </c>
      <c r="H2365" s="2" t="str">
        <f>"2007"</f>
        <v>2007</v>
      </c>
      <c r="I2365" s="3" t="str">
        <f>""</f>
        <v/>
      </c>
    </row>
    <row r="2366" spans="1:9" x14ac:dyDescent="0.3">
      <c r="A2366" s="2">
        <v>2365</v>
      </c>
      <c r="B2366" s="4" t="s">
        <v>35</v>
      </c>
      <c r="C2366" s="3" t="str">
        <f>"TFC000001532"</f>
        <v>TFC000001532</v>
      </c>
      <c r="D2366" s="3" t="str">
        <f>"F800-20-1705-(AR 3.4)"</f>
        <v>F800-20-1705-(AR 3.4)</v>
      </c>
      <c r="E2366" s="3" t="str">
        <f>"Penguin flies home : a flight school story"</f>
        <v>Penguin flies home : a flight school story</v>
      </c>
      <c r="F2366" s="3" t="str">
        <f>"Lita Judge"</f>
        <v>Lita Judge</v>
      </c>
      <c r="G2366" s="3" t="str">
        <f>"Atheneum Books for Young Readers"</f>
        <v>Atheneum Books for Young Readers</v>
      </c>
      <c r="H2366" s="2" t="str">
        <f>"2019"</f>
        <v>2019</v>
      </c>
      <c r="I2366" s="3" t="str">
        <f>""</f>
        <v/>
      </c>
    </row>
    <row r="2367" spans="1:9" x14ac:dyDescent="0.3">
      <c r="A2367" s="2">
        <v>2366</v>
      </c>
      <c r="B2367" s="4" t="s">
        <v>35</v>
      </c>
      <c r="C2367" s="3" t="str">
        <f>"TFC000001533"</f>
        <v>TFC000001533</v>
      </c>
      <c r="D2367" s="3" t="str">
        <f>"F800-20-1706-(AR 3.4)"</f>
        <v>F800-20-1706-(AR 3.4)</v>
      </c>
      <c r="E2367" s="3" t="str">
        <f>"(The)zoo crew"</f>
        <v>(The)zoo crew</v>
      </c>
      <c r="F2367" s="3" t="str">
        <f>"by Carolyn Keene ; illustrated by Macky Pamintuan"</f>
        <v>by Carolyn Keene ; illustrated by Macky Pamintuan</v>
      </c>
      <c r="G2367" s="3" t="str">
        <f>"Aladdin Paperbacks"</f>
        <v>Aladdin Paperbacks</v>
      </c>
      <c r="H2367" s="2" t="str">
        <f>"2008"</f>
        <v>2008</v>
      </c>
      <c r="I2367" s="3" t="str">
        <f>""</f>
        <v/>
      </c>
    </row>
    <row r="2368" spans="1:9" x14ac:dyDescent="0.3">
      <c r="A2368" s="2">
        <v>2367</v>
      </c>
      <c r="B2368" s="4" t="s">
        <v>35</v>
      </c>
      <c r="C2368" s="3" t="str">
        <f>"TFC000001534"</f>
        <v>TFC000001534</v>
      </c>
      <c r="D2368" s="3" t="str">
        <f>"F800-20-1707-(AR 3.4)"</f>
        <v>F800-20-1707-(AR 3.4)</v>
      </c>
      <c r="E2368" s="3" t="str">
        <f>"Homework hassles"</f>
        <v>Homework hassles</v>
      </c>
      <c r="F2368" s="3" t="str">
        <f>"by Abby Klein ; illustrated by John Mckinley"</f>
        <v>by Abby Klein ; illustrated by John Mckinley</v>
      </c>
      <c r="G2368" s="3" t="str">
        <f>"Scholastic"</f>
        <v>Scholastic</v>
      </c>
      <c r="H2368" s="2" t="str">
        <f>"2004"</f>
        <v>2004</v>
      </c>
      <c r="I2368" s="3" t="str">
        <f>""</f>
        <v/>
      </c>
    </row>
    <row r="2369" spans="1:9" x14ac:dyDescent="0.3">
      <c r="A2369" s="2">
        <v>2368</v>
      </c>
      <c r="B2369" s="4" t="s">
        <v>35</v>
      </c>
      <c r="C2369" s="3" t="str">
        <f>"TFC000001535"</f>
        <v>TFC000001535</v>
      </c>
      <c r="D2369" s="3" t="str">
        <f>"F800-20-1708-(AR 3.4)"</f>
        <v>F800-20-1708-(AR 3.4)</v>
      </c>
      <c r="E2369" s="3" t="str">
        <f>"(The)perfect present"</f>
        <v>(The)perfect present</v>
      </c>
      <c r="F2369" s="3" t="str">
        <f>"by Abby Klein ; illustrated by John McKinley"</f>
        <v>by Abby Klein ; illustrated by John McKinley</v>
      </c>
      <c r="G2369" s="3" t="str">
        <f>"Scholastic"</f>
        <v>Scholastic</v>
      </c>
      <c r="H2369" s="2" t="str">
        <f>"2009"</f>
        <v>2009</v>
      </c>
      <c r="I2369" s="3" t="str">
        <f>""</f>
        <v/>
      </c>
    </row>
    <row r="2370" spans="1:9" x14ac:dyDescent="0.3">
      <c r="A2370" s="2">
        <v>2369</v>
      </c>
      <c r="B2370" s="4" t="s">
        <v>35</v>
      </c>
      <c r="C2370" s="3" t="str">
        <f>"TFC000001536"</f>
        <v>TFC000001536</v>
      </c>
      <c r="D2370" s="3" t="str">
        <f>"F800-20-1709-(AR 3.4)"</f>
        <v>F800-20-1709-(AR 3.4)</v>
      </c>
      <c r="E2370" s="3" t="str">
        <f>"Polly Diamond and the super, stunning, spectacular school fair"</f>
        <v>Polly Diamond and the super, stunning, spectacular school fair</v>
      </c>
      <c r="F2370" s="3" t="str">
        <f>"Alice Kuipers ; illustrated by Diana Toledano"</f>
        <v>Alice Kuipers ; illustrated by Diana Toledano</v>
      </c>
      <c r="G2370" s="3" t="str">
        <f>"Chronicle Books"</f>
        <v>Chronicle Books</v>
      </c>
      <c r="H2370" s="2" t="str">
        <f>"2019"</f>
        <v>2019</v>
      </c>
      <c r="I2370" s="3" t="str">
        <f>""</f>
        <v/>
      </c>
    </row>
    <row r="2371" spans="1:9" x14ac:dyDescent="0.3">
      <c r="A2371" s="2">
        <v>2370</v>
      </c>
      <c r="B2371" s="4" t="s">
        <v>35</v>
      </c>
      <c r="C2371" s="3" t="str">
        <f>"TFC000001537"</f>
        <v>TFC000001537</v>
      </c>
      <c r="D2371" s="3" t="str">
        <f>"F800-20-1710-(AR 3.4)"</f>
        <v>F800-20-1710-(AR 3.4)</v>
      </c>
      <c r="E2371" s="3" t="str">
        <f>"(The)not-so-faraway adventure"</f>
        <v>(The)not-so-faraway adventure</v>
      </c>
      <c r="F2371" s="3" t="str">
        <f>"written by Andrew Larsen ; illustrated by Irene Luxbacher"</f>
        <v>written by Andrew Larsen ; illustrated by Irene Luxbacher</v>
      </c>
      <c r="G2371" s="3" t="str">
        <f>"Kids Can Press"</f>
        <v>Kids Can Press</v>
      </c>
      <c r="H2371" s="2" t="str">
        <f>"2016"</f>
        <v>2016</v>
      </c>
      <c r="I2371" s="3" t="str">
        <f>""</f>
        <v/>
      </c>
    </row>
    <row r="2372" spans="1:9" x14ac:dyDescent="0.3">
      <c r="A2372" s="2">
        <v>2371</v>
      </c>
      <c r="B2372" s="4" t="s">
        <v>35</v>
      </c>
      <c r="C2372" s="3" t="str">
        <f>"TFC000001538"</f>
        <v>TFC000001538</v>
      </c>
      <c r="D2372" s="3" t="str">
        <f>"F800-20-1711-(AR 3.4)"</f>
        <v>F800-20-1711-(AR 3.4)</v>
      </c>
      <c r="E2372" s="3" t="str">
        <f>"Sarah, plain and tall"</f>
        <v>Sarah, plain and tall</v>
      </c>
      <c r="F2372" s="3" t="str">
        <f>"Patricia MacLachlan"</f>
        <v>Patricia MacLachlan</v>
      </c>
      <c r="G2372" s="3" t="str">
        <f>"Charloote Zolotow Book"</f>
        <v>Charloote Zolotow Book</v>
      </c>
      <c r="H2372" s="2" t="str">
        <f>"2015"</f>
        <v>2015</v>
      </c>
      <c r="I2372" s="3" t="str">
        <f>""</f>
        <v/>
      </c>
    </row>
    <row r="2373" spans="1:9" x14ac:dyDescent="0.3">
      <c r="A2373" s="2">
        <v>2372</v>
      </c>
      <c r="B2373" s="4" t="s">
        <v>35</v>
      </c>
      <c r="C2373" s="3" t="str">
        <f>"TFC000001539"</f>
        <v>TFC000001539</v>
      </c>
      <c r="D2373" s="3" t="str">
        <f>"F800-20-1712-(AR 3.4)"</f>
        <v>F800-20-1712-(AR 3.4)</v>
      </c>
      <c r="E2373" s="3" t="str">
        <f>"Finding Winnie : the true story of the world's most famous bear"</f>
        <v>Finding Winnie : the true story of the world's most famous bear</v>
      </c>
      <c r="F2373" s="3" t="str">
        <f>"by Lindsay Mattick ; illustrated by Sophie Blackall"</f>
        <v>by Lindsay Mattick ; illustrated by Sophie Blackall</v>
      </c>
      <c r="G2373" s="3" t="str">
        <f>"Little, Brown and Company"</f>
        <v>Little, Brown and Company</v>
      </c>
      <c r="H2373" s="2" t="str">
        <f>"2015"</f>
        <v>2015</v>
      </c>
      <c r="I2373" s="3" t="str">
        <f>""</f>
        <v/>
      </c>
    </row>
    <row r="2374" spans="1:9" x14ac:dyDescent="0.3">
      <c r="A2374" s="2">
        <v>2373</v>
      </c>
      <c r="B2374" s="4" t="s">
        <v>35</v>
      </c>
      <c r="C2374" s="3" t="str">
        <f>"TFC000001540"</f>
        <v>TFC000001540</v>
      </c>
      <c r="D2374" s="3" t="str">
        <f>"F800-20-1713-(AR 3.4)"</f>
        <v>F800-20-1713-(AR 3.4)</v>
      </c>
      <c r="E2374" s="3" t="str">
        <f>"(The)hideout"</f>
        <v>(The)hideout</v>
      </c>
      <c r="F2374" s="3" t="str">
        <f>"by Susanna Mattiangeli ; illustrated by Felicita Sala"</f>
        <v>by Susanna Mattiangeli ; illustrated by Felicita Sala</v>
      </c>
      <c r="G2374" s="3" t="str">
        <f>"Abrams Books for Young Readers"</f>
        <v>Abrams Books for Young Readers</v>
      </c>
      <c r="H2374" s="2" t="str">
        <f>"2019"</f>
        <v>2019</v>
      </c>
      <c r="I2374" s="3" t="str">
        <f>""</f>
        <v/>
      </c>
    </row>
    <row r="2375" spans="1:9" x14ac:dyDescent="0.3">
      <c r="A2375" s="2">
        <v>2374</v>
      </c>
      <c r="B2375" s="4" t="s">
        <v>35</v>
      </c>
      <c r="C2375" s="3" t="str">
        <f>"TFC000001541"</f>
        <v>TFC000001541</v>
      </c>
      <c r="D2375" s="3" t="str">
        <f>"F800-20-1714-(AR 3.4)"</f>
        <v>F800-20-1714-(AR 3.4)</v>
      </c>
      <c r="E2375" s="3" t="str">
        <f>"Have you filled a bucket today? : a guide to daily happiness for kids"</f>
        <v>Have you filled a bucket today? : a guide to daily happiness for kids</v>
      </c>
      <c r="F2375" s="3" t="str">
        <f>"by Carol McCloud ; illustrated David Messing"</f>
        <v>by Carol McCloud ; illustrated David Messing</v>
      </c>
      <c r="G2375" s="3" t="str">
        <f>"Bucket Fillosophy"</f>
        <v>Bucket Fillosophy</v>
      </c>
      <c r="H2375" s="2" t="str">
        <f>"2016"</f>
        <v>2016</v>
      </c>
      <c r="I2375" s="3" t="str">
        <f>""</f>
        <v/>
      </c>
    </row>
    <row r="2376" spans="1:9" x14ac:dyDescent="0.3">
      <c r="A2376" s="2">
        <v>2375</v>
      </c>
      <c r="B2376" s="4" t="s">
        <v>35</v>
      </c>
      <c r="C2376" s="3" t="str">
        <f>"TFC000001542"</f>
        <v>TFC000001542</v>
      </c>
      <c r="D2376" s="3" t="str">
        <f>"F800-20-1715-(AR 3.4)"</f>
        <v>F800-20-1715-(AR 3.4)</v>
      </c>
      <c r="E2376" s="3" t="str">
        <f>"(The)three questions"</f>
        <v>(The)three questions</v>
      </c>
      <c r="F2376" s="3" t="str">
        <f>"written and illustrated by Jon J. Muth ; based on a story by Leo tolstoy"</f>
        <v>written and illustrated by Jon J. Muth ; based on a story by Leo tolstoy</v>
      </c>
      <c r="G2376" s="3" t="str">
        <f>"Scholastic press"</f>
        <v>Scholastic press</v>
      </c>
      <c r="H2376" s="2" t="str">
        <f>"2002"</f>
        <v>2002</v>
      </c>
      <c r="I2376" s="3" t="str">
        <f>""</f>
        <v/>
      </c>
    </row>
    <row r="2377" spans="1:9" x14ac:dyDescent="0.3">
      <c r="A2377" s="2">
        <v>2376</v>
      </c>
      <c r="B2377" s="4" t="s">
        <v>35</v>
      </c>
      <c r="C2377" s="3" t="str">
        <f>"TFC000001543"</f>
        <v>TFC000001543</v>
      </c>
      <c r="D2377" s="3" t="str">
        <f>"F800-20-1716-(AR 3.4)"</f>
        <v>F800-20-1716-(AR 3.4)</v>
      </c>
      <c r="E2377" s="3" t="str">
        <f>"Sulwe"</f>
        <v>Sulwe</v>
      </c>
      <c r="F2377" s="3" t="str">
        <f>"Lupita Nyong'o ; illustrated by Vashti Harrison"</f>
        <v>Lupita Nyong'o ; illustrated by Vashti Harrison</v>
      </c>
      <c r="G2377" s="3" t="str">
        <f>"Simon &amp; Schuster Books for Young Readers"</f>
        <v>Simon &amp; Schuster Books for Young Readers</v>
      </c>
      <c r="H2377" s="2" t="str">
        <f>"2018"</f>
        <v>2018</v>
      </c>
      <c r="I2377" s="3" t="str">
        <f>""</f>
        <v/>
      </c>
    </row>
    <row r="2378" spans="1:9" x14ac:dyDescent="0.3">
      <c r="A2378" s="2">
        <v>2377</v>
      </c>
      <c r="B2378" s="4" t="s">
        <v>35</v>
      </c>
      <c r="C2378" s="3" t="str">
        <f>"TFC000001545"</f>
        <v>TFC000001545</v>
      </c>
      <c r="D2378" s="3" t="str">
        <f>"F800-20-1718-(AR 3.4)"</f>
        <v>F800-20-1718-(AR 3.4)</v>
      </c>
      <c r="E2378" s="3" t="str">
        <f>"High tide in Hawaii"</f>
        <v>High tide in Hawaii</v>
      </c>
      <c r="F2378" s="3" t="str">
        <f>"by Mary Pope Osborne ; illustated by Sal Murdocca"</f>
        <v>by Mary Pope Osborne ; illustated by Sal Murdocca</v>
      </c>
      <c r="G2378" s="3" t="str">
        <f>"Random House"</f>
        <v>Random House</v>
      </c>
      <c r="H2378" s="2" t="str">
        <f>"2003"</f>
        <v>2003</v>
      </c>
      <c r="I2378" s="3" t="str">
        <f>""</f>
        <v/>
      </c>
    </row>
    <row r="2379" spans="1:9" x14ac:dyDescent="0.3">
      <c r="A2379" s="2">
        <v>2378</v>
      </c>
      <c r="B2379" s="4" t="s">
        <v>35</v>
      </c>
      <c r="C2379" s="3" t="str">
        <f>"TFC000001546"</f>
        <v>TFC000001546</v>
      </c>
      <c r="D2379" s="3" t="str">
        <f>"F800-20-1719-(AR 3.4)"</f>
        <v>F800-20-1719-(AR 3.4)</v>
      </c>
      <c r="E2379" s="3" t="str">
        <f>"Dog breath : the horrible trouble with Hally Tosis"</f>
        <v>Dog breath : the horrible trouble with Hally Tosis</v>
      </c>
      <c r="F2379" s="3" t="str">
        <f>"Dav Pilkey"</f>
        <v>Dav Pilkey</v>
      </c>
      <c r="G2379" s="3" t="str">
        <f>"Scholastic"</f>
        <v>Scholastic</v>
      </c>
      <c r="H2379" s="2" t="str">
        <f>"2019"</f>
        <v>2019</v>
      </c>
      <c r="I2379" s="3" t="str">
        <f>""</f>
        <v/>
      </c>
    </row>
    <row r="2380" spans="1:9" x14ac:dyDescent="0.3">
      <c r="A2380" s="2">
        <v>2379</v>
      </c>
      <c r="B2380" s="4" t="s">
        <v>35</v>
      </c>
      <c r="C2380" s="3" t="str">
        <f>"TFC000001549"</f>
        <v>TFC000001549</v>
      </c>
      <c r="D2380" s="3" t="str">
        <f>"F800-20-1722-(AR 3.4)"</f>
        <v>F800-20-1722-(AR 3.4)</v>
      </c>
      <c r="E2380" s="3" t="str">
        <f>"Fine feathered friends"</f>
        <v>Fine feathered friends</v>
      </c>
      <c r="F2380" s="3" t="str">
        <f>"by Tish Rabe ; illustrated by Aristides Ruiz"</f>
        <v>by Tish Rabe ; illustrated by Aristides Ruiz</v>
      </c>
      <c r="G2380" s="3" t="str">
        <f>"Random house"</f>
        <v>Random house</v>
      </c>
      <c r="H2380" s="2" t="str">
        <f>"2010"</f>
        <v>2010</v>
      </c>
      <c r="I2380" s="3" t="str">
        <f>""</f>
        <v/>
      </c>
    </row>
    <row r="2381" spans="1:9" x14ac:dyDescent="0.3">
      <c r="A2381" s="2">
        <v>2380</v>
      </c>
      <c r="B2381" s="4" t="s">
        <v>35</v>
      </c>
      <c r="C2381" s="3" t="str">
        <f>"TFC000001550"</f>
        <v>TFC000001550</v>
      </c>
      <c r="D2381" s="3" t="str">
        <f>"F800-20-1723-(AR 3.4)"</f>
        <v>F800-20-1723-(AR 3.4)</v>
      </c>
      <c r="E2381" s="3" t="str">
        <f>"Miles and miles of reptiles"</f>
        <v>Miles and miles of reptiles</v>
      </c>
      <c r="F2381" s="3" t="str">
        <f>"by Tish Rabe ; illustrated by Aristides Ruiz, Joe Mathieu"</f>
        <v>by Tish Rabe ; illustrated by Aristides Ruiz, Joe Mathieu</v>
      </c>
      <c r="G2381" s="3" t="str">
        <f>"Random House"</f>
        <v>Random House</v>
      </c>
      <c r="H2381" s="2" t="str">
        <f>"2009"</f>
        <v>2009</v>
      </c>
      <c r="I2381" s="3" t="str">
        <f>""</f>
        <v/>
      </c>
    </row>
    <row r="2382" spans="1:9" x14ac:dyDescent="0.3">
      <c r="A2382" s="2">
        <v>2381</v>
      </c>
      <c r="B2382" s="4" t="s">
        <v>35</v>
      </c>
      <c r="C2382" s="3" t="str">
        <f>"TFC000001551"</f>
        <v>TFC000001551</v>
      </c>
      <c r="D2382" s="3" t="str">
        <f>"F800-20-1724-(AR 3.4)"</f>
        <v>F800-20-1724-(AR 3.4)</v>
      </c>
      <c r="E2382" s="3" t="str">
        <f>"(Richard Scarry's)what do people do all day?"</f>
        <v>(Richard Scarry's)what do people do all day?</v>
      </c>
      <c r="F2382" s="3" t="str">
        <f>"Richard Scarry"</f>
        <v>Richard Scarry</v>
      </c>
      <c r="G2382" s="3" t="str">
        <f>"Golden Books"</f>
        <v>Golden Books</v>
      </c>
      <c r="H2382" s="2" t="str">
        <f>"2015"</f>
        <v>2015</v>
      </c>
      <c r="I2382" s="3" t="str">
        <f>""</f>
        <v/>
      </c>
    </row>
    <row r="2383" spans="1:9" x14ac:dyDescent="0.3">
      <c r="A2383" s="2">
        <v>2382</v>
      </c>
      <c r="B2383" s="4" t="s">
        <v>35</v>
      </c>
      <c r="C2383" s="3" t="str">
        <f>"TFC000001552"</f>
        <v>TFC000001552</v>
      </c>
      <c r="D2383" s="3" t="str">
        <f>"F800-20-1725-(AR 3.4)"</f>
        <v>F800-20-1725-(AR 3.4)</v>
      </c>
      <c r="E2383" s="3" t="str">
        <f>"Tar beach"</f>
        <v>Tar beach</v>
      </c>
      <c r="F2383" s="3" t="str">
        <f>"Faith Ringgold"</f>
        <v>Faith Ringgold</v>
      </c>
      <c r="G2383" s="3" t="str">
        <f>"Dragonfly Books"</f>
        <v>Dragonfly Books</v>
      </c>
      <c r="H2383" s="2" t="str">
        <f>"1991"</f>
        <v>1991</v>
      </c>
      <c r="I2383" s="3" t="str">
        <f>""</f>
        <v/>
      </c>
    </row>
    <row r="2384" spans="1:9" x14ac:dyDescent="0.3">
      <c r="A2384" s="2">
        <v>2383</v>
      </c>
      <c r="B2384" s="4" t="s">
        <v>35</v>
      </c>
      <c r="C2384" s="3" t="str">
        <f>"TFC000001553"</f>
        <v>TFC000001553</v>
      </c>
      <c r="D2384" s="3" t="str">
        <f>"F800-20-1726-(AR 3.4)"</f>
        <v>F800-20-1726-(AR 3.4)</v>
      </c>
      <c r="E2384" s="3" t="str">
        <f>"(The)absent autuor"</f>
        <v>(The)absent autuor</v>
      </c>
      <c r="F2384" s="3" t="str">
        <f>"by Ron Roy ; illustrated by John Steven Gurney"</f>
        <v>by Ron Roy ; illustrated by John Steven Gurney</v>
      </c>
      <c r="G2384" s="3" t="str">
        <f>"Random House"</f>
        <v>Random House</v>
      </c>
      <c r="H2384" s="2" t="str">
        <f>"2015"</f>
        <v>2015</v>
      </c>
      <c r="I2384" s="3" t="str">
        <f>""</f>
        <v/>
      </c>
    </row>
    <row r="2385" spans="1:9" x14ac:dyDescent="0.3">
      <c r="A2385" s="2">
        <v>2384</v>
      </c>
      <c r="B2385" s="4" t="s">
        <v>35</v>
      </c>
      <c r="C2385" s="3" t="str">
        <f>"TFC000001554"</f>
        <v>TFC000001554</v>
      </c>
      <c r="D2385" s="3" t="str">
        <f>"F800-20-1727-(AR 3.4)"</f>
        <v>F800-20-1727-(AR 3.4)</v>
      </c>
      <c r="E2385" s="3" t="str">
        <f>"(The)kidnapped king"</f>
        <v>(The)kidnapped king</v>
      </c>
      <c r="F2385" s="3" t="str">
        <f>"by Ron Roy ; illustrated by John Steven Gurney"</f>
        <v>by Ron Roy ; illustrated by John Steven Gurney</v>
      </c>
      <c r="G2385" s="3" t="str">
        <f>"Random House"</f>
        <v>Random House</v>
      </c>
      <c r="H2385" s="2" t="str">
        <f>"2015"</f>
        <v>2015</v>
      </c>
      <c r="I2385" s="3" t="str">
        <f>""</f>
        <v/>
      </c>
    </row>
    <row r="2386" spans="1:9" x14ac:dyDescent="0.3">
      <c r="A2386" s="2">
        <v>2385</v>
      </c>
      <c r="B2386" s="4" t="s">
        <v>35</v>
      </c>
      <c r="C2386" s="3" t="str">
        <f>"TFC000001555"</f>
        <v>TFC000001555</v>
      </c>
      <c r="D2386" s="3" t="str">
        <f>"F800-20-1728-(AR 3.4)"</f>
        <v>F800-20-1728-(AR 3.4)</v>
      </c>
      <c r="E2386" s="3" t="str">
        <f>"(The)deadly Dungeon"</f>
        <v>(The)deadly Dungeon</v>
      </c>
      <c r="F2386" s="3" t="str">
        <f>"by Ron Roy ; illustrated by John Steven Gurney"</f>
        <v>by Ron Roy ; illustrated by John Steven Gurney</v>
      </c>
      <c r="G2386" s="3" t="str">
        <f>"Random House"</f>
        <v>Random House</v>
      </c>
      <c r="H2386" s="2" t="str">
        <f>"2015"</f>
        <v>2015</v>
      </c>
      <c r="I2386" s="3" t="str">
        <f>""</f>
        <v/>
      </c>
    </row>
    <row r="2387" spans="1:9" x14ac:dyDescent="0.3">
      <c r="A2387" s="2">
        <v>2386</v>
      </c>
      <c r="B2387" s="4" t="s">
        <v>35</v>
      </c>
      <c r="C2387" s="3" t="str">
        <f>"TFC000001556"</f>
        <v>TFC000001556</v>
      </c>
      <c r="D2387" s="3" t="str">
        <f>"F800-20-1729-(AR 3.4)"</f>
        <v>F800-20-1729-(AR 3.4)</v>
      </c>
      <c r="E2387" s="3" t="str">
        <f>"(The)haunted hotel"</f>
        <v>(The)haunted hotel</v>
      </c>
      <c r="F2387" s="3" t="str">
        <f>"by Ron Roy ; illustrated by John Steven Gurney"</f>
        <v>by Ron Roy ; illustrated by John Steven Gurney</v>
      </c>
      <c r="G2387" s="3" t="str">
        <f>"Random House"</f>
        <v>Random House</v>
      </c>
      <c r="H2387" s="2" t="str">
        <f>"2015"</f>
        <v>2015</v>
      </c>
      <c r="I2387" s="3" t="str">
        <f>""</f>
        <v/>
      </c>
    </row>
    <row r="2388" spans="1:9" x14ac:dyDescent="0.3">
      <c r="A2388" s="2">
        <v>2387</v>
      </c>
      <c r="B2388" s="4" t="s">
        <v>35</v>
      </c>
      <c r="C2388" s="3" t="str">
        <f>"TFC000001557"</f>
        <v>TFC000001557</v>
      </c>
      <c r="D2388" s="3" t="str">
        <f>"F800-20-1730-(AR 3.4)"</f>
        <v>F800-20-1730-(AR 3.4)</v>
      </c>
      <c r="E2388" s="3" t="str">
        <f>"Class president"</f>
        <v>Class president</v>
      </c>
      <c r="F2388" s="3" t="str">
        <f>"by Louis Sachar ; illustrated by Amy Wummer"</f>
        <v>by Louis Sachar ; illustrated by Amy Wummer</v>
      </c>
      <c r="G2388" s="3" t="str">
        <f>"Random House"</f>
        <v>Random House</v>
      </c>
      <c r="H2388" s="2" t="str">
        <f>"2015"</f>
        <v>2015</v>
      </c>
      <c r="I2388" s="3" t="str">
        <f>""</f>
        <v/>
      </c>
    </row>
    <row r="2389" spans="1:9" x14ac:dyDescent="0.3">
      <c r="A2389" s="2">
        <v>2388</v>
      </c>
      <c r="B2389" s="4" t="s">
        <v>35</v>
      </c>
      <c r="C2389" s="3" t="str">
        <f>"TFC000001559"</f>
        <v>TFC000001559</v>
      </c>
      <c r="D2389" s="3" t="str">
        <f>"F800-20-1732-(AR 3.4)"</f>
        <v>F800-20-1732-(AR 3.4)</v>
      </c>
      <c r="E2389" s="3" t="str">
        <f>"Wayside school is falling down"</f>
        <v>Wayside school is falling down</v>
      </c>
      <c r="F2389" s="3" t="str">
        <f>"Louis Sachar ; illustrated by Adam McCauley"</f>
        <v>Louis Sachar ; illustrated by Adam McCauley</v>
      </c>
      <c r="G2389" s="3" t="str">
        <f>"HarperTrophy"</f>
        <v>HarperTrophy</v>
      </c>
      <c r="H2389" s="2" t="str">
        <f>"2019"</f>
        <v>2019</v>
      </c>
      <c r="I2389" s="3" t="str">
        <f>""</f>
        <v/>
      </c>
    </row>
    <row r="2390" spans="1:9" x14ac:dyDescent="0.3">
      <c r="A2390" s="2">
        <v>2389</v>
      </c>
      <c r="B2390" s="4" t="s">
        <v>35</v>
      </c>
      <c r="C2390" s="3" t="str">
        <f>"TFC000001560"</f>
        <v>TFC000001560</v>
      </c>
      <c r="D2390" s="3" t="str">
        <f>"F800-20-1733-(AR 3.4)"</f>
        <v>F800-20-1733-(AR 3.4)</v>
      </c>
      <c r="E2390" s="3" t="str">
        <f>"(The)stinky Cheese Man and other fairly stupid tales"</f>
        <v>(The)stinky Cheese Man and other fairly stupid tales</v>
      </c>
      <c r="F2390" s="3" t="str">
        <f>"Jon Scieszka ; illustrated by Lane Smith"</f>
        <v>Jon Scieszka ; illustrated by Lane Smith</v>
      </c>
      <c r="G2390" s="3" t="str">
        <f>"Viking"</f>
        <v>Viking</v>
      </c>
      <c r="H2390" s="2" t="str">
        <f>"1992"</f>
        <v>1992</v>
      </c>
      <c r="I2390" s="3" t="str">
        <f>""</f>
        <v/>
      </c>
    </row>
    <row r="2391" spans="1:9" x14ac:dyDescent="0.3">
      <c r="A2391" s="2">
        <v>2390</v>
      </c>
      <c r="B2391" s="4" t="s">
        <v>35</v>
      </c>
      <c r="C2391" s="3" t="str">
        <f>"TFC000001561"</f>
        <v>TFC000001561</v>
      </c>
      <c r="D2391" s="3" t="str">
        <f>"F800-20-1734-(AR 3.4)"</f>
        <v>F800-20-1734-(AR 3.4)</v>
      </c>
      <c r="E2391" s="3" t="str">
        <f>"(The)stinky cheese man and other fairly stupid tales"</f>
        <v>(The)stinky cheese man and other fairly stupid tales</v>
      </c>
      <c r="F2391" s="3" t="str">
        <f>"by Jon Scieszka ; illuatrated by Lane Smith"</f>
        <v>by Jon Scieszka ; illuatrated by Lane Smith</v>
      </c>
      <c r="G2391" s="3" t="str">
        <f>"Puffin Books"</f>
        <v>Puffin Books</v>
      </c>
      <c r="H2391" s="2" t="str">
        <f>"1993"</f>
        <v>1993</v>
      </c>
      <c r="I2391" s="3" t="str">
        <f>""</f>
        <v/>
      </c>
    </row>
    <row r="2392" spans="1:9" x14ac:dyDescent="0.3">
      <c r="A2392" s="2">
        <v>2391</v>
      </c>
      <c r="B2392" s="4" t="s">
        <v>35</v>
      </c>
      <c r="C2392" s="3" t="str">
        <f>"TFC000001562"</f>
        <v>TFC000001562</v>
      </c>
      <c r="D2392" s="3" t="str">
        <f>"F800-20-1735-(AR 3.4)"</f>
        <v>F800-20-1735-(AR 3.4)</v>
      </c>
      <c r="E2392" s="3" t="str">
        <f>"(The)secret science project that almost ate the school"</f>
        <v>(The)secret science project that almost ate the school</v>
      </c>
      <c r="F2392" s="3" t="str">
        <f>"Judy Sierra ; pictures by Stephen Gammel"</f>
        <v>Judy Sierra ; pictures by Stephen Gammel</v>
      </c>
      <c r="G2392" s="3" t="str">
        <f>"Simon &amp; Schuster Books"</f>
        <v>Simon &amp; Schuster Books</v>
      </c>
      <c r="H2392" s="2" t="str">
        <f>"2007"</f>
        <v>2007</v>
      </c>
      <c r="I2392" s="3" t="str">
        <f>""</f>
        <v/>
      </c>
    </row>
    <row r="2393" spans="1:9" x14ac:dyDescent="0.3">
      <c r="A2393" s="2">
        <v>2392</v>
      </c>
      <c r="B2393" s="4" t="s">
        <v>35</v>
      </c>
      <c r="C2393" s="3" t="str">
        <f>"TFC000001563"</f>
        <v>TFC000001563</v>
      </c>
      <c r="D2393" s="3" t="str">
        <f>"F800-20-1736-(AR 3.4)"</f>
        <v>F800-20-1736-(AR 3.4)</v>
      </c>
      <c r="E2393" s="3" t="str">
        <f>"Gulliver's travels"</f>
        <v>Gulliver's travels</v>
      </c>
      <c r="F2393" s="3" t="str">
        <f>"based on the book by Jonathan Swift ; adapted by Gil Harvey ; illustrated by Peter Dennis"</f>
        <v>based on the book by Jonathan Swift ; adapted by Gil Harvey ; illustrated by Peter Dennis</v>
      </c>
      <c r="G2393" s="3" t="str">
        <f>"Usborne"</f>
        <v>Usborne</v>
      </c>
      <c r="H2393" s="2" t="str">
        <f>"2007"</f>
        <v>2007</v>
      </c>
      <c r="I2393" s="3" t="str">
        <f>""</f>
        <v/>
      </c>
    </row>
    <row r="2394" spans="1:9" x14ac:dyDescent="0.3">
      <c r="A2394" s="2">
        <v>2393</v>
      </c>
      <c r="B2394" s="4" t="s">
        <v>35</v>
      </c>
      <c r="C2394" s="3" t="str">
        <f>"TFC000001565"</f>
        <v>TFC000001565</v>
      </c>
      <c r="D2394" s="3" t="str">
        <f>"F800-20-1738-(AR 3.4)"</f>
        <v>F800-20-1738-(AR 3.4)</v>
      </c>
      <c r="E2394" s="3" t="str">
        <f>"Oscar and the snail : a book about things we use"</f>
        <v>Oscar and the snail : a book about things we use</v>
      </c>
      <c r="F2394" s="3" t="str">
        <f>"Geoff Waring"</f>
        <v>Geoff Waring</v>
      </c>
      <c r="G2394" s="3" t="str">
        <f>"Candlewick Press"</f>
        <v>Candlewick Press</v>
      </c>
      <c r="H2394" s="2" t="str">
        <f>"2011"</f>
        <v>2011</v>
      </c>
      <c r="I2394" s="3" t="str">
        <f>""</f>
        <v/>
      </c>
    </row>
    <row r="2395" spans="1:9" x14ac:dyDescent="0.3">
      <c r="A2395" s="2">
        <v>2394</v>
      </c>
      <c r="B2395" s="4" t="s">
        <v>35</v>
      </c>
      <c r="C2395" s="3" t="str">
        <f>"TFC000001570"</f>
        <v>TFC000001570</v>
      </c>
      <c r="D2395" s="3" t="str">
        <f>"F800-20-1743-(AR 3.4)"</f>
        <v>F800-20-1743-(AR 3.4)</v>
      </c>
      <c r="E2395" s="3" t="str">
        <f>"Robinson Crusoe"</f>
        <v>Robinson Crusoe</v>
      </c>
      <c r="F2395" s="3" t="str">
        <f>"retold by Angela Wilkes ; adapted by Gill Harvey ; illustrated by Peter Dennis"</f>
        <v>retold by Angela Wilkes ; adapted by Gill Harvey ; illustrated by Peter Dennis</v>
      </c>
      <c r="G2395" s="3" t="str">
        <f>"Usborne"</f>
        <v>Usborne</v>
      </c>
      <c r="H2395" s="2" t="str">
        <f>"2007"</f>
        <v>2007</v>
      </c>
      <c r="I2395" s="3" t="str">
        <f>""</f>
        <v/>
      </c>
    </row>
    <row r="2396" spans="1:9" x14ac:dyDescent="0.3">
      <c r="A2396" s="2">
        <v>2395</v>
      </c>
      <c r="B2396" s="4" t="s">
        <v>35</v>
      </c>
      <c r="C2396" s="3" t="str">
        <f>"TFC000001571"</f>
        <v>TFC000001571</v>
      </c>
      <c r="D2396" s="3" t="str">
        <f>"F800-20-1744-(AR 3.4)"</f>
        <v>F800-20-1744-(AR 3.4)</v>
      </c>
      <c r="E2396" s="3" t="str">
        <f>"Cat and mouse in a haunted house"</f>
        <v>Cat and mouse in a haunted house</v>
      </c>
      <c r="F2396" s="3" t="str">
        <f>"by Geronimo Stilton ; illusttated by Matt Wolf, Larry Keys"</f>
        <v>by Geronimo Stilton ; illusttated by Matt Wolf, Larry Keys</v>
      </c>
      <c r="G2396" s="3" t="str">
        <f>"Scholastic"</f>
        <v>Scholastic</v>
      </c>
      <c r="H2396" s="2" t="str">
        <f>"2004"</f>
        <v>2004</v>
      </c>
      <c r="I2396" s="3" t="str">
        <f>""</f>
        <v/>
      </c>
    </row>
    <row r="2397" spans="1:9" x14ac:dyDescent="0.3">
      <c r="A2397" s="2">
        <v>2396</v>
      </c>
      <c r="B2397" s="4" t="s">
        <v>35</v>
      </c>
      <c r="C2397" s="3" t="str">
        <f>"TFC000001572"</f>
        <v>TFC000001572</v>
      </c>
      <c r="D2397" s="3" t="str">
        <f>"F800-20-1745-(AR 3.4)"</f>
        <v>F800-20-1745-(AR 3.4)</v>
      </c>
      <c r="E2397" s="3" t="str">
        <f>"Paws off, cheddarface!"</f>
        <v>Paws off, cheddarface!</v>
      </c>
      <c r="F2397" s="3" t="str">
        <f>"by Geronimo Stilton ; illustrated by Mark Nithael, Kat Steven"</f>
        <v>by Geronimo Stilton ; illustrated by Mark Nithael, Kat Steven</v>
      </c>
      <c r="G2397" s="3" t="str">
        <f>"Scholastic"</f>
        <v>Scholastic</v>
      </c>
      <c r="H2397" s="2" t="str">
        <f>"2004"</f>
        <v>2004</v>
      </c>
      <c r="I2397" s="3" t="str">
        <f>""</f>
        <v/>
      </c>
    </row>
    <row r="2398" spans="1:9" x14ac:dyDescent="0.3">
      <c r="A2398" s="2">
        <v>2397</v>
      </c>
      <c r="B2398" s="4" t="s">
        <v>35</v>
      </c>
      <c r="C2398" s="3" t="str">
        <f>"TFC000001574"</f>
        <v>TFC000001574</v>
      </c>
      <c r="D2398" s="3" t="str">
        <f>"F900-20-1751-(AR 3.4)"</f>
        <v>F900-20-1751-(AR 3.4)</v>
      </c>
      <c r="E2398" s="3" t="str">
        <f>"Discovery in the cave"</f>
        <v>Discovery in the cave</v>
      </c>
      <c r="F2398" s="3" t="str">
        <f>"by Mark Dubowski ; illustrated by Bryn Barnard"</f>
        <v>by Mark Dubowski ; illustrated by Bryn Barnard</v>
      </c>
      <c r="G2398" s="3" t="str">
        <f>"Random House"</f>
        <v>Random House</v>
      </c>
      <c r="H2398" s="2" t="str">
        <f>"2010"</f>
        <v>2010</v>
      </c>
      <c r="I2398" s="3" t="str">
        <f>""</f>
        <v/>
      </c>
    </row>
    <row r="2399" spans="1:9" x14ac:dyDescent="0.3">
      <c r="A2399" s="2">
        <v>2398</v>
      </c>
      <c r="B2399" s="4" t="s">
        <v>35</v>
      </c>
      <c r="C2399" s="3" t="str">
        <f>"TFC000001575"</f>
        <v>TFC000001575</v>
      </c>
      <c r="D2399" s="3" t="str">
        <f>"F900-20-1752-(AR 3.4)"</f>
        <v>F900-20-1752-(AR 3.4)</v>
      </c>
      <c r="E2399" s="3" t="str">
        <f>"I am Walt Disney"</f>
        <v>I am Walt Disney</v>
      </c>
      <c r="F2399" s="3" t="str">
        <f>"Brad Meltzer ; illustrated by Christopher Eliopoulos"</f>
        <v>Brad Meltzer ; illustrated by Christopher Eliopoulos</v>
      </c>
      <c r="G2399" s="3" t="str">
        <f>"Dial Books for Young Readers"</f>
        <v>Dial Books for Young Readers</v>
      </c>
      <c r="H2399" s="2" t="str">
        <f>"2019"</f>
        <v>2019</v>
      </c>
      <c r="I2399" s="3" t="str">
        <f>""</f>
        <v/>
      </c>
    </row>
    <row r="2400" spans="1:9" x14ac:dyDescent="0.3">
      <c r="A2400" s="2">
        <v>2399</v>
      </c>
      <c r="B2400" s="4" t="s">
        <v>35</v>
      </c>
      <c r="C2400" s="3" t="str">
        <f>"TFC000001576"</f>
        <v>TFC000001576</v>
      </c>
      <c r="D2400" s="3" t="str">
        <f>"F900-20-1753-(AR 3.4)"</f>
        <v>F900-20-1753-(AR 3.4)</v>
      </c>
      <c r="E2400" s="3" t="str">
        <f>"Martin's big words : the life of Dr. Martin Luther King, Jr."</f>
        <v>Martin's big words : the life of Dr. Martin Luther King, Jr.</v>
      </c>
      <c r="F2400" s="3" t="str">
        <f>"Doreen Rappaport ; illustrated by Bryan Collier"</f>
        <v>Doreen Rappaport ; illustrated by Bryan Collier</v>
      </c>
      <c r="G2400" s="3" t="str">
        <f>"Jump at the Sun:Hyperion books for Children"</f>
        <v>Jump at the Sun:Hyperion books for Children</v>
      </c>
      <c r="H2400" s="2" t="str">
        <f>"2007"</f>
        <v>2007</v>
      </c>
      <c r="I2400" s="3" t="str">
        <f>""</f>
        <v/>
      </c>
    </row>
    <row r="2401" spans="1:9" x14ac:dyDescent="0.3">
      <c r="A2401" s="2">
        <v>2400</v>
      </c>
      <c r="B2401" s="4" t="s">
        <v>35</v>
      </c>
      <c r="C2401" s="3" t="str">
        <f>"TFC000002982"</f>
        <v>TFC000002982</v>
      </c>
      <c r="D2401" s="3" t="str">
        <f>"F800-20-1748-(AR 3.4)"</f>
        <v>F800-20-1748-(AR 3.4)</v>
      </c>
      <c r="E2401" s="3" t="str">
        <f>"Bizarro : an origin story"</f>
        <v>Bizarro : an origin story</v>
      </c>
      <c r="F2401" s="3" t="str">
        <f>"written by Ivan Cohen ; illustrated by Luciano Vecchio"</f>
        <v>written by Ivan Cohen ; illustrated by Luciano Vecchio</v>
      </c>
      <c r="G2401" s="3" t="str">
        <f>"Stone Arch Books"</f>
        <v>Stone Arch Books</v>
      </c>
      <c r="H2401" s="2" t="str">
        <f>"2019"</f>
        <v>2019</v>
      </c>
      <c r="I2401" s="3" t="str">
        <f>""</f>
        <v/>
      </c>
    </row>
    <row r="2402" spans="1:9" x14ac:dyDescent="0.3">
      <c r="A2402" s="2">
        <v>2401</v>
      </c>
      <c r="B2402" s="4" t="s">
        <v>35</v>
      </c>
      <c r="C2402" s="3" t="str">
        <f>"TFC000002877"</f>
        <v>TFC000002877</v>
      </c>
      <c r="D2402" s="3" t="str">
        <f>"F800-20-1747-(AR 3.4)"</f>
        <v>F800-20-1747-(AR 3.4)</v>
      </c>
      <c r="E2402" s="3" t="str">
        <f>"Eating enchiladas"</f>
        <v>Eating enchiladas</v>
      </c>
      <c r="F2402" s="3" t="str">
        <f>"by Phyllis Reynolds Naylor ; illustrated by Marcy Ramsey"</f>
        <v>by Phyllis Reynolds Naylor ; illustrated by Marcy Ramsey</v>
      </c>
      <c r="G2402" s="3" t="str">
        <f>"Scholastic"</f>
        <v>Scholastic</v>
      </c>
      <c r="H2402" s="2" t="str">
        <f>"2008"</f>
        <v>2008</v>
      </c>
      <c r="I2402" s="3" t="str">
        <f>""</f>
        <v/>
      </c>
    </row>
    <row r="2403" spans="1:9" x14ac:dyDescent="0.3">
      <c r="A2403" s="2">
        <v>2402</v>
      </c>
      <c r="B2403" s="4" t="s">
        <v>35</v>
      </c>
      <c r="C2403" s="3" t="str">
        <f>"TFC000002878"</f>
        <v>TFC000002878</v>
      </c>
      <c r="D2403" s="3" t="str">
        <f>"F400-20-1651-(AR 3.4)"</f>
        <v>F400-20-1651-(AR 3.4)</v>
      </c>
      <c r="E2403" s="3" t="str">
        <f>"Living sunlight : how plants bring the earth to life"</f>
        <v>Living sunlight : how plants bring the earth to life</v>
      </c>
      <c r="F2403" s="3" t="str">
        <f>"by Molly Bang, Penny Chisholm"</f>
        <v>by Molly Bang, Penny Chisholm</v>
      </c>
      <c r="G2403" s="3" t="str">
        <f>"Blue Sky Press"</f>
        <v>Blue Sky Press</v>
      </c>
      <c r="H2403" s="2" t="str">
        <f>"2009"</f>
        <v>2009</v>
      </c>
      <c r="I2403" s="3" t="str">
        <f>""</f>
        <v/>
      </c>
    </row>
    <row r="2404" spans="1:9" x14ac:dyDescent="0.3">
      <c r="A2404" s="2">
        <v>2403</v>
      </c>
      <c r="B2404" s="4" t="s">
        <v>35</v>
      </c>
      <c r="C2404" s="3" t="str">
        <f>"TFC000003031"</f>
        <v>TFC000003031</v>
      </c>
      <c r="D2404" s="3" t="str">
        <f>"F800-20-1749-(AR 3.4)"</f>
        <v>F800-20-1749-(AR 3.4)</v>
      </c>
      <c r="E2404" s="3" t="str">
        <f>"Cara and the Wizard"</f>
        <v>Cara and the Wizard</v>
      </c>
      <c r="F2404" s="3" t="str">
        <f>"retold by Liz Flanagan ; illustrated by Valeria Docampo"</f>
        <v>retold by Liz Flanagan ; illustrated by Valeria Docampo</v>
      </c>
      <c r="G2404" s="3" t="str">
        <f>"Barefoot Books"</f>
        <v>Barefoot Books</v>
      </c>
      <c r="H2404" s="2" t="str">
        <f>"2013"</f>
        <v>2013</v>
      </c>
      <c r="I2404" s="3" t="str">
        <f>""</f>
        <v/>
      </c>
    </row>
    <row r="2405" spans="1:9" x14ac:dyDescent="0.3">
      <c r="A2405" s="2">
        <v>2404</v>
      </c>
      <c r="B2405" s="4" t="s">
        <v>35</v>
      </c>
      <c r="C2405" s="3" t="str">
        <f>"TFC000003076"</f>
        <v>TFC000003076</v>
      </c>
      <c r="D2405" s="3" t="str">
        <f>"F800-20-1750-(AR 3.4)"</f>
        <v>F800-20-1750-(AR 3.4)</v>
      </c>
      <c r="E2405" s="3" t="str">
        <f>"Islandborn"</f>
        <v>Islandborn</v>
      </c>
      <c r="F2405" s="3" t="str">
        <f>"by Junot Diaz ; illustrated by Leo Espinosa"</f>
        <v>by Junot Diaz ; illustrated by Leo Espinosa</v>
      </c>
      <c r="G2405" s="3" t="str">
        <f>"Dial Books for Young Readers"</f>
        <v>Dial Books for Young Readers</v>
      </c>
      <c r="H2405" s="2" t="str">
        <f>"2018"</f>
        <v>2018</v>
      </c>
      <c r="I2405" s="3" t="str">
        <f>""</f>
        <v/>
      </c>
    </row>
    <row r="2406" spans="1:9" x14ac:dyDescent="0.3">
      <c r="A2406" s="2">
        <v>2405</v>
      </c>
      <c r="B2406" s="4" t="s">
        <v>35</v>
      </c>
      <c r="C2406" s="3" t="str">
        <f>"TFC000003366"</f>
        <v>TFC000003366</v>
      </c>
      <c r="D2406" s="3" t="str">
        <f>"F900-21-0626-(AR 3.4)"</f>
        <v>F900-21-0626-(AR 3.4)</v>
      </c>
      <c r="E2406" s="3" t="str">
        <f>"Benjamin Franklin"</f>
        <v>Benjamin Franklin</v>
      </c>
      <c r="F2406" s="3" t="str">
        <f>"by Laura K Murray"</f>
        <v>by Laura K Murray</v>
      </c>
      <c r="G2406" s="3" t="str">
        <f>"Pebble"</f>
        <v>Pebble</v>
      </c>
      <c r="H2406" s="2" t="str">
        <f>"2020"</f>
        <v>2020</v>
      </c>
      <c r="I2406" s="3" t="str">
        <f>""</f>
        <v/>
      </c>
    </row>
    <row r="2407" spans="1:9" x14ac:dyDescent="0.3">
      <c r="A2407" s="2">
        <v>2406</v>
      </c>
      <c r="B2407" s="4" t="s">
        <v>35</v>
      </c>
      <c r="C2407" s="3" t="str">
        <f>"TFC000003367"</f>
        <v>TFC000003367</v>
      </c>
      <c r="D2407" s="3" t="str">
        <f>"F400-21-0600-(AR 3.4)"</f>
        <v>F400-21-0600-(AR 3.4)</v>
      </c>
      <c r="E2407" s="3" t="str">
        <f>"Dung beetles"</f>
        <v>Dung beetles</v>
      </c>
      <c r="F2407" s="3" t="str">
        <f>"by Martha E. H. Rustard"</f>
        <v>by Martha E. H. Rustard</v>
      </c>
      <c r="G2407" s="3" t="str">
        <f>"Pebble"</f>
        <v>Pebble</v>
      </c>
      <c r="H2407" s="2" t="str">
        <f>"2020"</f>
        <v>2020</v>
      </c>
      <c r="I2407" s="3" t="str">
        <f>""</f>
        <v/>
      </c>
    </row>
    <row r="2408" spans="1:9" x14ac:dyDescent="0.3">
      <c r="A2408" s="2">
        <v>2407</v>
      </c>
      <c r="B2408" s="4" t="s">
        <v>35</v>
      </c>
      <c r="C2408" s="3" t="str">
        <f>"TFC000003368"</f>
        <v>TFC000003368</v>
      </c>
      <c r="D2408" s="3" t="str">
        <f>"F400-21-0601-(AR 3.4)"</f>
        <v>F400-21-0601-(AR 3.4)</v>
      </c>
      <c r="E2408" s="3" t="str">
        <f>"Manatees"</f>
        <v>Manatees</v>
      </c>
      <c r="F2408" s="3" t="str">
        <f>"by Melissa Stewart"</f>
        <v>by Melissa Stewart</v>
      </c>
      <c r="G2408" s="3" t="str">
        <f>"National Geographic"</f>
        <v>National Geographic</v>
      </c>
      <c r="H2408" s="2" t="str">
        <f>"2014"</f>
        <v>2014</v>
      </c>
      <c r="I2408" s="3" t="str">
        <f>""</f>
        <v/>
      </c>
    </row>
    <row r="2409" spans="1:9" x14ac:dyDescent="0.3">
      <c r="A2409" s="2">
        <v>2408</v>
      </c>
      <c r="B2409" s="4" t="s">
        <v>35</v>
      </c>
      <c r="C2409" s="3" t="str">
        <f>"TFC000003370"</f>
        <v>TFC000003370</v>
      </c>
      <c r="D2409" s="3" t="str">
        <f>"F800-21-0604-(AR 3.4)"</f>
        <v>F800-21-0604-(AR 3.4)</v>
      </c>
      <c r="E2409" s="3" t="str">
        <f>"Sadiq and the Ramadan gift"</f>
        <v>Sadiq and the Ramadan gift</v>
      </c>
      <c r="F2409" s="3" t="str">
        <f>"by Siman Nuurali ; art by Anjan Sarkar"</f>
        <v>by Siman Nuurali ; art by Anjan Sarkar</v>
      </c>
      <c r="G2409" s="3" t="str">
        <f>"Picture Window Books"</f>
        <v>Picture Window Books</v>
      </c>
      <c r="H2409" s="2" t="str">
        <f>"2021"</f>
        <v>2021</v>
      </c>
      <c r="I2409" s="3" t="str">
        <f>""</f>
        <v/>
      </c>
    </row>
    <row r="2410" spans="1:9" x14ac:dyDescent="0.3">
      <c r="A2410" s="2">
        <v>2409</v>
      </c>
      <c r="B2410" s="4" t="s">
        <v>35</v>
      </c>
      <c r="C2410" s="3" t="str">
        <f>"TFC000003371"</f>
        <v>TFC000003371</v>
      </c>
      <c r="D2410" s="3" t="str">
        <f>"F800-21-0605-(AR 3.4)"</f>
        <v>F800-21-0605-(AR 3.4)</v>
      </c>
      <c r="E2410" s="3" t="str">
        <f>"(The)snoring princess"</f>
        <v>(The)snoring princess</v>
      </c>
      <c r="F2410" s="3" t="str">
        <f>"story by Anna Staniszewski ; art by Macky Pamintuan"</f>
        <v>story by Anna Staniszewski ; art by Macky Pamintuan</v>
      </c>
      <c r="G2410" s="3" t="str">
        <f>"Branches/Scholastic Inc"</f>
        <v>Branches/Scholastic Inc</v>
      </c>
      <c r="H2410" s="2" t="str">
        <f>"2020"</f>
        <v>2020</v>
      </c>
      <c r="I2410" s="3" t="str">
        <f>""</f>
        <v/>
      </c>
    </row>
    <row r="2411" spans="1:9" x14ac:dyDescent="0.3">
      <c r="A2411" s="2">
        <v>2410</v>
      </c>
      <c r="B2411" s="4" t="s">
        <v>35</v>
      </c>
      <c r="C2411" s="3" t="str">
        <f>"TFC000003491"</f>
        <v>TFC000003491</v>
      </c>
      <c r="D2411" s="3" t="str">
        <f>"F800-21-0609-(AR 3.4)"</f>
        <v>F800-21-0609-(AR 3.4)</v>
      </c>
      <c r="E2411" s="3" t="str">
        <f>"Trevor Lee and the big uh-oh!"</f>
        <v>Trevor Lee and the big uh-oh!</v>
      </c>
      <c r="F2411" s="3" t="str">
        <f>"by Wiley Blevins ; illustrated by Marta Kissi"</f>
        <v>by Wiley Blevins ; illustrated by Marta Kissi</v>
      </c>
      <c r="G2411" s="3" t="str">
        <f>"One Elm Books"</f>
        <v>One Elm Books</v>
      </c>
      <c r="H2411" s="2" t="str">
        <f>"2020"</f>
        <v>2020</v>
      </c>
      <c r="I2411" s="3" t="str">
        <f>""</f>
        <v/>
      </c>
    </row>
    <row r="2412" spans="1:9" x14ac:dyDescent="0.3">
      <c r="A2412" s="2">
        <v>2411</v>
      </c>
      <c r="B2412" s="4" t="s">
        <v>35</v>
      </c>
      <c r="C2412" s="3" t="str">
        <f>"TFC000003555"</f>
        <v>TFC000003555</v>
      </c>
      <c r="D2412" s="3" t="str">
        <f>"F300-21-0599-(AR 3.4)"</f>
        <v>F300-21-0599-(AR 3.4)</v>
      </c>
      <c r="E2412" s="3" t="str">
        <f>"Holidays around the world"</f>
        <v>Holidays around the world</v>
      </c>
      <c r="F2412" s="3" t="str">
        <f>"by Wil Mara"</f>
        <v>by Wil Mara</v>
      </c>
      <c r="G2412" s="3" t="str">
        <f>"Pebble"</f>
        <v>Pebble</v>
      </c>
      <c r="H2412" s="2" t="str">
        <f>"2021"</f>
        <v>2021</v>
      </c>
      <c r="I2412" s="3" t="str">
        <f>""</f>
        <v/>
      </c>
    </row>
    <row r="2413" spans="1:9" x14ac:dyDescent="0.3">
      <c r="A2413" s="2">
        <v>2412</v>
      </c>
      <c r="B2413" s="4" t="s">
        <v>35</v>
      </c>
      <c r="C2413" s="3" t="str">
        <f>"TFC000003556"</f>
        <v>TFC000003556</v>
      </c>
      <c r="D2413" s="3" t="str">
        <f>"F900-21-0627-(AR 3.4)"</f>
        <v>F900-21-0627-(AR 3.4)</v>
      </c>
      <c r="E2413" s="3" t="str">
        <f>"Matthew Henson"</f>
        <v>Matthew Henson</v>
      </c>
      <c r="F2413" s="3" t="str">
        <f>"by A.M. Reynolds"</f>
        <v>by A.M. Reynolds</v>
      </c>
      <c r="G2413" s="3" t="str">
        <f>"Pebble"</f>
        <v>Pebble</v>
      </c>
      <c r="H2413" s="2" t="str">
        <f>"2021"</f>
        <v>2021</v>
      </c>
      <c r="I2413" s="3" t="str">
        <f>""</f>
        <v/>
      </c>
    </row>
    <row r="2414" spans="1:9" x14ac:dyDescent="0.3">
      <c r="A2414" s="2">
        <v>2413</v>
      </c>
      <c r="B2414" s="4" t="s">
        <v>35</v>
      </c>
      <c r="C2414" s="3" t="str">
        <f>"TFC000003557"</f>
        <v>TFC000003557</v>
      </c>
      <c r="D2414" s="3" t="str">
        <f>"F400-21-0602-(AR 3.4)"</f>
        <v>F400-21-0602-(AR 3.4)</v>
      </c>
      <c r="E2414" s="3" t="str">
        <f>"Pythons"</f>
        <v>Pythons</v>
      </c>
      <c r="F2414" s="3" t="str">
        <f>"by Martha E. H. Rustad"</f>
        <v>by Martha E. H. Rustad</v>
      </c>
      <c r="G2414" s="3" t="str">
        <f>"Pebble"</f>
        <v>Pebble</v>
      </c>
      <c r="H2414" s="2" t="str">
        <f>"2021"</f>
        <v>2021</v>
      </c>
      <c r="I2414" s="3" t="str">
        <f>""</f>
        <v/>
      </c>
    </row>
    <row r="2415" spans="1:9" x14ac:dyDescent="0.3">
      <c r="A2415" s="2">
        <v>2414</v>
      </c>
      <c r="B2415" s="4" t="s">
        <v>35</v>
      </c>
      <c r="C2415" s="3" t="str">
        <f>"TFC000003564"</f>
        <v>TFC000003564</v>
      </c>
      <c r="D2415" s="3" t="str">
        <f>"F800-21-0610-(AR 3.4)"</f>
        <v>F800-21-0610-(AR 3.4)</v>
      </c>
      <c r="E2415" s="3" t="str">
        <f>"How much is a million?"</f>
        <v>How much is a million?</v>
      </c>
      <c r="F2415" s="3" t="str">
        <f>"by David M. Schwartz ; pictures by Steven Kellogg"</f>
        <v>by David M. Schwartz ; pictures by Steven Kellogg</v>
      </c>
      <c r="G2415" s="3" t="str">
        <f>"HarperTrophy"</f>
        <v>HarperTrophy</v>
      </c>
      <c r="H2415" s="2" t="str">
        <f>"2004"</f>
        <v>2004</v>
      </c>
      <c r="I2415" s="3" t="str">
        <f>""</f>
        <v/>
      </c>
    </row>
    <row r="2416" spans="1:9" x14ac:dyDescent="0.3">
      <c r="A2416" s="2">
        <v>2415</v>
      </c>
      <c r="B2416" s="4" t="s">
        <v>35</v>
      </c>
      <c r="C2416" s="3" t="str">
        <f>"TFC000003620"</f>
        <v>TFC000003620</v>
      </c>
      <c r="D2416" s="3" t="str">
        <f>"F800-21-0612-(AR 3.4)"</f>
        <v>F800-21-0612-(AR 3.4)</v>
      </c>
      <c r="E2416" s="3" t="str">
        <f>"Red Riding Hood, superhero : a graphic novel"</f>
        <v>Red Riding Hood, superhero : a graphic novel</v>
      </c>
      <c r="F2416" s="3" t="str">
        <f>"by Otis Frampton"</f>
        <v>by Otis Frampton</v>
      </c>
      <c r="G2416" s="3" t="str">
        <f>"Stone Arch Books, a Capstone imprint"</f>
        <v>Stone Arch Books, a Capstone imprint</v>
      </c>
      <c r="H2416" s="2" t="str">
        <f>"2015"</f>
        <v>2015</v>
      </c>
      <c r="I2416" s="3" t="str">
        <f>""</f>
        <v/>
      </c>
    </row>
    <row r="2417" spans="1:9" x14ac:dyDescent="0.3">
      <c r="A2417" s="2">
        <v>2416</v>
      </c>
      <c r="B2417" s="4" t="s">
        <v>35</v>
      </c>
      <c r="C2417" s="3" t="str">
        <f>"TFC000003746"</f>
        <v>TFC000003746</v>
      </c>
      <c r="D2417" s="3" t="str">
        <f>"F800-21-0616-(AR 3.4)"</f>
        <v>F800-21-0616-(AR 3.4)</v>
      </c>
      <c r="E2417" s="3" t="str">
        <f>"Back-to-school fright from the black lagoon"</f>
        <v>Back-to-school fright from the black lagoon</v>
      </c>
      <c r="F2417" s="3" t="str">
        <f>"by Mike Thaler ; illustraed by Jared lee"</f>
        <v>by Mike Thaler ; illustraed by Jared lee</v>
      </c>
      <c r="G2417" s="3" t="str">
        <f>"Scholastic"</f>
        <v>Scholastic</v>
      </c>
      <c r="H2417" s="2" t="str">
        <f>"2008"</f>
        <v>2008</v>
      </c>
      <c r="I2417" s="3" t="str">
        <f>""</f>
        <v/>
      </c>
    </row>
    <row r="2418" spans="1:9" x14ac:dyDescent="0.3">
      <c r="A2418" s="2">
        <v>2417</v>
      </c>
      <c r="B2418" s="4" t="s">
        <v>35</v>
      </c>
      <c r="C2418" s="3" t="str">
        <f>"TFC000003727"</f>
        <v>TFC000003727</v>
      </c>
      <c r="D2418" s="3" t="str">
        <f>"F800-21-0613-(AR 3.4)"</f>
        <v>F800-21-0613-(AR 3.4)</v>
      </c>
      <c r="E2418" s="3" t="str">
        <f>"Eerie elementary. 8, The hall monitors are fired!"</f>
        <v>Eerie elementary. 8, The hall monitors are fired!</v>
      </c>
      <c r="F2418" s="3" t="str">
        <f>"by Jack Chabert ; illustrated by Matt Loveridge ; based on the art of Sam Ricks"</f>
        <v>by Jack Chabert ; illustrated by Matt Loveridge ; based on the art of Sam Ricks</v>
      </c>
      <c r="G2418" s="3" t="str">
        <f>"Branches:Scholastic Inc."</f>
        <v>Branches:Scholastic Inc.</v>
      </c>
      <c r="H2418" s="2" t="str">
        <f>"2018"</f>
        <v>2018</v>
      </c>
      <c r="I2418" s="3" t="str">
        <f>""</f>
        <v/>
      </c>
    </row>
    <row r="2419" spans="1:9" x14ac:dyDescent="0.3">
      <c r="A2419" s="2">
        <v>2418</v>
      </c>
      <c r="B2419" s="4" t="s">
        <v>35</v>
      </c>
      <c r="C2419" s="3" t="str">
        <f>"TFC000003738"</f>
        <v>TFC000003738</v>
      </c>
      <c r="D2419" s="3" t="str">
        <f>"F800-21-0614-(AR 3.4)"</f>
        <v>F800-21-0614-(AR 3.4)</v>
      </c>
      <c r="E2419" s="3" t="str">
        <f>"(The)halloween party from the black lagoon"</f>
        <v>(The)halloween party from the black lagoon</v>
      </c>
      <c r="F2419" s="3" t="str">
        <f>"by Mike Thaler ; illustraed by Jared lee"</f>
        <v>by Mike Thaler ; illustraed by Jared lee</v>
      </c>
      <c r="G2419" s="3" t="str">
        <f>"Scholastic"</f>
        <v>Scholastic</v>
      </c>
      <c r="H2419" s="2" t="str">
        <f>"2007"</f>
        <v>2007</v>
      </c>
      <c r="I2419" s="3" t="str">
        <f>""</f>
        <v/>
      </c>
    </row>
    <row r="2420" spans="1:9" x14ac:dyDescent="0.3">
      <c r="A2420" s="2">
        <v>2419</v>
      </c>
      <c r="B2420" s="4" t="s">
        <v>35</v>
      </c>
      <c r="C2420" s="3" t="str">
        <f>"TFC000003742"</f>
        <v>TFC000003742</v>
      </c>
      <c r="D2420" s="3" t="str">
        <f>"F800-21-0615-(AR 3.4)"</f>
        <v>F800-21-0615-(AR 3.4)</v>
      </c>
      <c r="E2420" s="3" t="str">
        <f>"(The)christmas party from the black lagoon"</f>
        <v>(The)christmas party from the black lagoon</v>
      </c>
      <c r="F2420" s="3" t="str">
        <f>"by Mike Thaler ; illustraed by Jared lee"</f>
        <v>by Mike Thaler ; illustraed by Jared lee</v>
      </c>
      <c r="G2420" s="3" t="str">
        <f>"Scholastic"</f>
        <v>Scholastic</v>
      </c>
      <c r="H2420" s="2" t="str">
        <f>"2007"</f>
        <v>2007</v>
      </c>
      <c r="I2420" s="3" t="str">
        <f>""</f>
        <v/>
      </c>
    </row>
    <row r="2421" spans="1:9" x14ac:dyDescent="0.3">
      <c r="A2421" s="2">
        <v>2420</v>
      </c>
      <c r="B2421" s="4" t="s">
        <v>35</v>
      </c>
      <c r="C2421" s="3" t="str">
        <f>"TFC000003802"</f>
        <v>TFC000003802</v>
      </c>
      <c r="D2421" s="3" t="str">
        <f>"F800-21-0617-(AR 3.4)"</f>
        <v>F800-21-0617-(AR 3.4)</v>
      </c>
      <c r="E2421" s="3" t="str">
        <f>"(The)Princess in black and the science fair scare"</f>
        <v>(The)Princess in black and the science fair scare</v>
      </c>
      <c r="F2421" s="3" t="str">
        <f>"by Shannon Hale, Dean Hale, illustrated LeUyen Pham"</f>
        <v>by Shannon Hale, Dean Hale, illustrated LeUyen Pham</v>
      </c>
      <c r="G2421" s="3" t="str">
        <f>"Candlewick Press"</f>
        <v>Candlewick Press</v>
      </c>
      <c r="H2421" s="2" t="str">
        <f>"2019"</f>
        <v>2019</v>
      </c>
      <c r="I2421" s="3" t="str">
        <f>""</f>
        <v/>
      </c>
    </row>
    <row r="2422" spans="1:9" x14ac:dyDescent="0.3">
      <c r="A2422" s="2">
        <v>2421</v>
      </c>
      <c r="B2422" s="4" t="s">
        <v>35</v>
      </c>
      <c r="C2422" s="3" t="str">
        <f>"TFC000003885"</f>
        <v>TFC000003885</v>
      </c>
      <c r="D2422" s="3" t="str">
        <f>"F800-21-0618-(AR 3.4)"</f>
        <v>F800-21-0618-(AR 3.4)</v>
      </c>
      <c r="E2422" s="3" t="str">
        <f>"Goes to the vet"</f>
        <v>Goes to the vet</v>
      </c>
      <c r="F2422" s="3" t="str">
        <f>"by Nick Bruel"</f>
        <v>by Nick Bruel</v>
      </c>
      <c r="G2422" s="3" t="str">
        <f>"Square Fish"</f>
        <v>Square Fish</v>
      </c>
      <c r="H2422" s="2" t="str">
        <f>"2017"</f>
        <v>2017</v>
      </c>
      <c r="I2422" s="3" t="str">
        <f>""</f>
        <v/>
      </c>
    </row>
    <row r="2423" spans="1:9" x14ac:dyDescent="0.3">
      <c r="A2423" s="2">
        <v>2422</v>
      </c>
      <c r="B2423" s="4" t="s">
        <v>35</v>
      </c>
      <c r="C2423" s="3" t="str">
        <f>"TFC000004061"</f>
        <v>TFC000004061</v>
      </c>
      <c r="D2423" s="3" t="str">
        <f>"F100-21-0598-(AR 3.4)"</f>
        <v>F100-21-0598-(AR 3.4)</v>
      </c>
      <c r="E2423" s="3" t="str">
        <f>"(An)Angry spirit : a ghost story"</f>
        <v>(An)Angry spirit : a ghost story</v>
      </c>
      <c r="F2423" s="3" t="str">
        <f>"by Anita Croy, illustrated by Ludovic Salle"</f>
        <v>by Anita Croy, illustrated by Ludovic Salle</v>
      </c>
      <c r="G2423" s="3" t="str">
        <f>"Bearport Publishing"</f>
        <v>Bearport Publishing</v>
      </c>
      <c r="H2423" s="2" t="str">
        <f>"2022"</f>
        <v>2022</v>
      </c>
      <c r="I2423" s="3" t="str">
        <f>""</f>
        <v/>
      </c>
    </row>
    <row r="2424" spans="1:9" x14ac:dyDescent="0.3">
      <c r="A2424" s="2">
        <v>2423</v>
      </c>
      <c r="B2424" s="4" t="s">
        <v>35</v>
      </c>
      <c r="C2424" s="3" t="str">
        <f>"TFC000004115"</f>
        <v>TFC000004115</v>
      </c>
      <c r="D2424" s="3" t="str">
        <f>"F800-21-0621-(AR 3.4)"</f>
        <v>F800-21-0621-(AR 3.4)</v>
      </c>
      <c r="E2424" s="3" t="str">
        <f>"Ace Lacewing, Bug Detective : The Big Swat"</f>
        <v>Ace Lacewing, Bug Detective : The Big Swat</v>
      </c>
      <c r="F2424" s="3" t="str">
        <f>"by David Biedrzycki"</f>
        <v>by David Biedrzycki</v>
      </c>
      <c r="G2424" s="3" t="str">
        <f>"Charlesbridge"</f>
        <v>Charlesbridge</v>
      </c>
      <c r="H2424" s="2" t="str">
        <f>"2012"</f>
        <v>2012</v>
      </c>
      <c r="I2424" s="3" t="str">
        <f>""</f>
        <v/>
      </c>
    </row>
    <row r="2425" spans="1:9" x14ac:dyDescent="0.3">
      <c r="A2425" s="2">
        <v>2424</v>
      </c>
      <c r="B2425" s="4" t="s">
        <v>35</v>
      </c>
      <c r="C2425" s="3" t="str">
        <f>"TFC000004129"</f>
        <v>TFC000004129</v>
      </c>
      <c r="D2425" s="3" t="str">
        <f>"F800-21-0625-(AR 3.4)"</f>
        <v>F800-21-0625-(AR 3.4)</v>
      </c>
      <c r="E2425" s="3" t="str">
        <f>"Stink. Solar system superhero"</f>
        <v>Stink. Solar system superhero</v>
      </c>
      <c r="F2425" s="3" t="str">
        <f>"by Megan McDonald"</f>
        <v>by Megan McDonald</v>
      </c>
      <c r="G2425" s="3" t="str">
        <f>"Candlewick Press"</f>
        <v>Candlewick Press</v>
      </c>
      <c r="H2425" s="2" t="str">
        <f>"2021"</f>
        <v>2021</v>
      </c>
      <c r="I2425" s="3" t="str">
        <f>""</f>
        <v/>
      </c>
    </row>
    <row r="2426" spans="1:9" x14ac:dyDescent="0.3">
      <c r="A2426" s="2">
        <v>2425</v>
      </c>
      <c r="B2426" s="4" t="s">
        <v>35</v>
      </c>
      <c r="C2426" s="3" t="str">
        <f>"TFC000004174"</f>
        <v>TFC000004174</v>
      </c>
      <c r="D2426" s="3" t="str">
        <f>"F800-21-0623-(AR 3.4)"</f>
        <v>F800-21-0623-(AR 3.4)</v>
      </c>
      <c r="E2426" s="3" t="str">
        <f>"Long ago, on a silent night"</f>
        <v>Long ago, on a silent night</v>
      </c>
      <c r="F2426" s="3" t="str">
        <f>"by Julie Berry, illustrations by Annie Won"</f>
        <v>by Julie Berry, illustrations by Annie Won</v>
      </c>
      <c r="G2426" s="3" t="str">
        <f>"Orchard Books"</f>
        <v>Orchard Books</v>
      </c>
      <c r="H2426" s="2" t="str">
        <f>"2019"</f>
        <v>2019</v>
      </c>
      <c r="I2426" s="3" t="str">
        <f>""</f>
        <v/>
      </c>
    </row>
    <row r="2427" spans="1:9" x14ac:dyDescent="0.3">
      <c r="A2427" s="2">
        <v>2426</v>
      </c>
      <c r="B2427" s="4" t="s">
        <v>35</v>
      </c>
      <c r="C2427" s="3" t="str">
        <f>"TFC000004175"</f>
        <v>TFC000004175</v>
      </c>
      <c r="D2427" s="3" t="str">
        <f>"F800-21-0624-(AR 3.4)"</f>
        <v>F800-21-0624-(AR 3.4)</v>
      </c>
      <c r="E2427" s="3" t="str">
        <f>"Elbow Grease vs. Motozilla"</f>
        <v>Elbow Grease vs. Motozilla</v>
      </c>
      <c r="F2427" s="3" t="str">
        <f>"by John Cena, Illustrated by Howard McWilliam"</f>
        <v>by John Cena, Illustrated by Howard McWilliam</v>
      </c>
      <c r="G2427" s="3" t="str">
        <f>"Random House"</f>
        <v>Random House</v>
      </c>
      <c r="H2427" s="2" t="str">
        <f>"2019"</f>
        <v>2019</v>
      </c>
      <c r="I2427" s="3" t="str">
        <f>""</f>
        <v/>
      </c>
    </row>
    <row r="2428" spans="1:9" x14ac:dyDescent="0.3">
      <c r="A2428" s="2">
        <v>2427</v>
      </c>
      <c r="B2428" s="4" t="s">
        <v>35</v>
      </c>
      <c r="C2428" s="3" t="str">
        <f>"TFC000004304"</f>
        <v>TFC000004304</v>
      </c>
      <c r="D2428" s="3" t="str">
        <f>"F800-22-0037-(AR 3.4)"</f>
        <v>F800-22-0037-(AR 3.4)</v>
      </c>
      <c r="E2428" s="3" t="str">
        <f>"Wings"</f>
        <v>Wings</v>
      </c>
      <c r="F2428" s="3" t="str">
        <f>"by Christopher Myers"</f>
        <v>by Christopher Myers</v>
      </c>
      <c r="G2428" s="3" t="str">
        <f>"Scholastic Press"</f>
        <v>Scholastic Press</v>
      </c>
      <c r="H2428" s="2" t="str">
        <f>"2020"</f>
        <v>2020</v>
      </c>
      <c r="I2428" s="3" t="str">
        <f>""</f>
        <v/>
      </c>
    </row>
    <row r="2429" spans="1:9" x14ac:dyDescent="0.3">
      <c r="A2429" s="2">
        <v>2428</v>
      </c>
      <c r="B2429" s="4" t="s">
        <v>35</v>
      </c>
      <c r="C2429" s="3" t="str">
        <f>"TFC000004309"</f>
        <v>TFC000004309</v>
      </c>
      <c r="D2429" s="3" t="str">
        <f>"F800-20-1721-(AR 3.4)=2"</f>
        <v>F800-20-1721-(AR 3.4)=2</v>
      </c>
      <c r="E2429" s="3" t="str">
        <f>"Clam-I-am!/ : all about the beach"</f>
        <v>Clam-I-am!/ : all about the beach</v>
      </c>
      <c r="F2429" s="3" t="str">
        <f>"by Tish Rabe, illustrated by Aristides Ruiz and Joe Mathieu"</f>
        <v>by Tish Rabe, illustrated by Aristides Ruiz and Joe Mathieu</v>
      </c>
      <c r="G2429" s="3" t="str">
        <f>"Random House"</f>
        <v>Random House</v>
      </c>
      <c r="H2429" s="2" t="str">
        <f>"2005"</f>
        <v>2005</v>
      </c>
      <c r="I2429" s="3" t="str">
        <f>""</f>
        <v/>
      </c>
    </row>
    <row r="2430" spans="1:9" x14ac:dyDescent="0.3">
      <c r="A2430" s="2">
        <v>2429</v>
      </c>
      <c r="B2430" s="4" t="s">
        <v>35</v>
      </c>
      <c r="C2430" s="3" t="str">
        <f>"TFC000004470"</f>
        <v>TFC000004470</v>
      </c>
      <c r="D2430" s="3" t="str">
        <f>"F800-22-0279-(AR3.4)"</f>
        <v>F800-22-0279-(AR3.4)</v>
      </c>
      <c r="E2430" s="3" t="str">
        <f>"Aphrodite &amp; the gold apple"</f>
        <v>Aphrodite &amp; the gold apple</v>
      </c>
      <c r="F2430" s="3" t="str">
        <f>"by Joan Holub and Suzanne Williams, illustrated by Yuyi Chen"</f>
        <v>by Joan Holub and Suzanne Williams, illustrated by Yuyi Chen</v>
      </c>
      <c r="G2430" s="3" t="str">
        <f>"Aladdin"</f>
        <v>Aladdin</v>
      </c>
      <c r="H2430" s="2" t="str">
        <f>"2020"</f>
        <v>2020</v>
      </c>
      <c r="I2430" s="3" t="str">
        <f>""</f>
        <v/>
      </c>
    </row>
    <row r="2431" spans="1:9" x14ac:dyDescent="0.3">
      <c r="A2431" s="2">
        <v>2430</v>
      </c>
      <c r="B2431" s="4" t="s">
        <v>35</v>
      </c>
      <c r="C2431" s="3" t="str">
        <f>"TFC000004352"</f>
        <v>TFC000004352</v>
      </c>
      <c r="D2431" s="3" t="str">
        <f>"F800-22-0161-(AR3.4)"</f>
        <v>F800-22-0161-(AR3.4)</v>
      </c>
      <c r="E2431" s="3" t="str">
        <f>"Ada Twist, Scientist"</f>
        <v>Ada Twist, Scientist</v>
      </c>
      <c r="F2431" s="3" t="str">
        <f>"by Andrea Beaty, illustrated by David Roberts"</f>
        <v>by Andrea Beaty, illustrated by David Roberts</v>
      </c>
      <c r="G2431" s="3" t="str">
        <f>"Abrams Books for Young Readers"</f>
        <v>Abrams Books for Young Readers</v>
      </c>
      <c r="H2431" s="2" t="str">
        <f>"2016"</f>
        <v>2016</v>
      </c>
      <c r="I2431" s="3" t="str">
        <f>""</f>
        <v/>
      </c>
    </row>
    <row r="2432" spans="1:9" x14ac:dyDescent="0.3">
      <c r="A2432" s="2">
        <v>2431</v>
      </c>
      <c r="B2432" s="4" t="s">
        <v>35</v>
      </c>
      <c r="C2432" s="3" t="str">
        <f>"TFC000004353"</f>
        <v>TFC000004353</v>
      </c>
      <c r="D2432" s="3" t="str">
        <f>"F800-22-0162-(AR3.4)"</f>
        <v>F800-22-0162-(AR3.4)</v>
      </c>
      <c r="E2432" s="3" t="str">
        <f>"Ivy + Bean. 11, One big happy family"</f>
        <v>Ivy + Bean. 11, One big happy family</v>
      </c>
      <c r="F2432" s="3" t="str">
        <f>"by Annie Barrows, illustrated by Sophie Blackall"</f>
        <v>by Annie Barrows, illustrated by Sophie Blackall</v>
      </c>
      <c r="G2432" s="3" t="str">
        <f>"Chronicle Books"</f>
        <v>Chronicle Books</v>
      </c>
      <c r="H2432" s="2" t="str">
        <f>"2018"</f>
        <v>2018</v>
      </c>
      <c r="I2432" s="3" t="str">
        <f>""</f>
        <v/>
      </c>
    </row>
    <row r="2433" spans="1:9" x14ac:dyDescent="0.3">
      <c r="A2433" s="2">
        <v>2432</v>
      </c>
      <c r="B2433" s="4" t="s">
        <v>35</v>
      </c>
      <c r="C2433" s="3" t="str">
        <f>"TFC000004373"</f>
        <v>TFC000004373</v>
      </c>
      <c r="D2433" s="3" t="str">
        <f>"F800-22-0182-(AR3.4)"</f>
        <v>F800-22-0182-(AR3.4)</v>
      </c>
      <c r="E2433" s="3" t="str">
        <f>"(The)princess in black and the mermaid princess"</f>
        <v>(The)princess in black and the mermaid princess</v>
      </c>
      <c r="F2433" s="3" t="str">
        <f>"by Shannon Hale, Dean Hale, illustrated by LeUyen Pham"</f>
        <v>by Shannon Hale, Dean Hale, illustrated by LeUyen Pham</v>
      </c>
      <c r="G2433" s="3" t="str">
        <f>"Candlewick"</f>
        <v>Candlewick</v>
      </c>
      <c r="H2433" s="2" t="str">
        <f>"2020"</f>
        <v>2020</v>
      </c>
      <c r="I2433" s="3" t="str">
        <f>""</f>
        <v/>
      </c>
    </row>
    <row r="2434" spans="1:9" x14ac:dyDescent="0.3">
      <c r="A2434" s="2">
        <v>2433</v>
      </c>
      <c r="B2434" s="4" t="s">
        <v>35</v>
      </c>
      <c r="C2434" s="3" t="str">
        <f>"TFC000004471"</f>
        <v>TFC000004471</v>
      </c>
      <c r="D2434" s="3" t="str">
        <f>"F800-22-0280-(AR3.4)"</f>
        <v>F800-22-0280-(AR3.4)</v>
      </c>
      <c r="E2434" s="3" t="str">
        <f>"(The)princess in black and the mermaid princess"</f>
        <v>(The)princess in black and the mermaid princess</v>
      </c>
      <c r="F2434" s="3" t="str">
        <f>"by Shannon Hale, Dean Hale, illustrated by LeUyen Pham"</f>
        <v>by Shannon Hale, Dean Hale, illustrated by LeUyen Pham</v>
      </c>
      <c r="G2434" s="3" t="str">
        <f>"Candlewick"</f>
        <v>Candlewick</v>
      </c>
      <c r="H2434" s="2" t="str">
        <f>"2020"</f>
        <v>2020</v>
      </c>
      <c r="I2434" s="3" t="str">
        <f>""</f>
        <v/>
      </c>
    </row>
    <row r="2435" spans="1:9" x14ac:dyDescent="0.3">
      <c r="A2435" s="2">
        <v>2434</v>
      </c>
      <c r="B2435" s="4" t="s">
        <v>35</v>
      </c>
      <c r="C2435" s="3" t="str">
        <f>"TFC000004678"</f>
        <v>TFC000004678</v>
      </c>
      <c r="D2435" s="3" t="str">
        <f>"F800-22-0487-(AR3.4)"</f>
        <v>F800-22-0487-(AR3.4)</v>
      </c>
      <c r="E2435" s="3" t="str">
        <f>"Once upon a fairy tale. 3, (The)Missing dwarf"</f>
        <v>Once upon a fairy tale. 3, (The)Missing dwarf</v>
      </c>
      <c r="F2435" s="3" t="str">
        <f>"story by Anna Staniszewski, Art by Macky Pamintuan"</f>
        <v>story by Anna Staniszewski, Art by Macky Pamintuan</v>
      </c>
      <c r="G2435" s="3" t="str">
        <f>"Scholastic Inc"</f>
        <v>Scholastic Inc</v>
      </c>
      <c r="H2435" s="2" t="str">
        <f>"2020"</f>
        <v>2020</v>
      </c>
      <c r="I2435" s="3" t="str">
        <f>""</f>
        <v/>
      </c>
    </row>
    <row r="2436" spans="1:9" x14ac:dyDescent="0.3">
      <c r="A2436" s="2">
        <v>2435</v>
      </c>
      <c r="B2436" s="4" t="s">
        <v>35</v>
      </c>
      <c r="C2436" s="3" t="str">
        <f>"TFC000004261"</f>
        <v>TFC000004261</v>
      </c>
      <c r="D2436" s="3" t="str">
        <f>"F800-22-0036-10(AR 3.4)"</f>
        <v>F800-22-0036-10(AR 3.4)</v>
      </c>
      <c r="E2436" s="3" t="str">
        <f>"(The)Critter club. 10, Ellie and the good-luck pig"</f>
        <v>(The)Critter club. 10, Ellie and the good-luck pig</v>
      </c>
      <c r="F2436" s="3" t="str">
        <f>"by Callie Barkley, illustrated by Marsha Riti"</f>
        <v>by Callie Barkley, illustrated by Marsha Riti</v>
      </c>
      <c r="G2436" s="3" t="str">
        <f>"LittleSimon"</f>
        <v>LittleSimon</v>
      </c>
      <c r="H2436" s="2" t="str">
        <f>"2015"</f>
        <v>2015</v>
      </c>
      <c r="I2436" s="3" t="str">
        <f>""</f>
        <v/>
      </c>
    </row>
    <row r="2437" spans="1:9" x14ac:dyDescent="0.3">
      <c r="A2437" s="2">
        <v>2436</v>
      </c>
      <c r="B2437" s="4">
        <v>3.4</v>
      </c>
      <c r="C2437" s="3" t="str">
        <f>"TFC000001507"</f>
        <v>TFC000001507</v>
      </c>
      <c r="D2437" s="3" t="str">
        <f>"F800-20-1680-12(AR 3.4)"</f>
        <v>F800-20-1680-12(AR 3.4)</v>
      </c>
      <c r="E2437" s="3" t="str">
        <f>"(The)mystery of flight 54"</f>
        <v>(The)mystery of flight 54</v>
      </c>
      <c r="F2437" s="3" t="str">
        <f>"by David A. Adler ; illustrated by Susanna Natti"</f>
        <v>by David A. Adler ; illustrated by Susanna Natti</v>
      </c>
      <c r="G2437" s="3" t="str">
        <f>"Puffin Books"</f>
        <v>Puffin Books</v>
      </c>
      <c r="H2437" s="2" t="str">
        <f>"2004"</f>
        <v>2004</v>
      </c>
      <c r="I2437" s="3" t="str">
        <f>""</f>
        <v/>
      </c>
    </row>
    <row r="2438" spans="1:9" x14ac:dyDescent="0.3">
      <c r="A2438" s="2">
        <v>2437</v>
      </c>
      <c r="B2438" s="4">
        <v>3.4</v>
      </c>
      <c r="C2438" s="3" t="str">
        <f>"TFC000003886"</f>
        <v>TFC000003886</v>
      </c>
      <c r="D2438" s="3" t="str">
        <f>"F800-21-0619-13(AR 3.4)"</f>
        <v>F800-21-0619-13(AR 3.4)</v>
      </c>
      <c r="E2438" s="3" t="str">
        <f>"(The)Critter club. 13, Amy is a little bit chicken"</f>
        <v>(The)Critter club. 13, Amy is a little bit chicken</v>
      </c>
      <c r="F2438" s="3" t="str">
        <f>"by Callie Barkley, illustrated by Tracy Nishimura Bishop"</f>
        <v>by Callie Barkley, illustrated by Tracy Nishimura Bishop</v>
      </c>
      <c r="G2438" s="3" t="str">
        <f>"LittleSimon"</f>
        <v>LittleSimon</v>
      </c>
      <c r="H2438" s="2" t="str">
        <f>"2015"</f>
        <v>2015</v>
      </c>
      <c r="I2438" s="3" t="str">
        <f>""</f>
        <v/>
      </c>
    </row>
    <row r="2439" spans="1:9" x14ac:dyDescent="0.3">
      <c r="A2439" s="2">
        <v>2438</v>
      </c>
      <c r="B2439" s="4">
        <v>3.4</v>
      </c>
      <c r="C2439" s="3" t="str">
        <f>"TFC000001508"</f>
        <v>TFC000001508</v>
      </c>
      <c r="D2439" s="3" t="str">
        <f>"F800-20-1681-16(AR 3.4)"</f>
        <v>F800-20-1681-16(AR 3.4)</v>
      </c>
      <c r="E2439" s="3" t="str">
        <f>"(The)ghostly mystery"</f>
        <v>(The)ghostly mystery</v>
      </c>
      <c r="F2439" s="3" t="str">
        <f>"by David A. Adler ; illustrated by Susanna Natti"</f>
        <v>by David A. Adler ; illustrated by Susanna Natti</v>
      </c>
      <c r="G2439" s="3" t="str">
        <f>"Puffin Books"</f>
        <v>Puffin Books</v>
      </c>
      <c r="H2439" s="2" t="str">
        <f>"2011"</f>
        <v>2011</v>
      </c>
      <c r="I2439" s="3" t="str">
        <f>""</f>
        <v/>
      </c>
    </row>
    <row r="2440" spans="1:9" x14ac:dyDescent="0.3">
      <c r="A2440" s="2">
        <v>2439</v>
      </c>
      <c r="B2440" s="4">
        <v>3.4</v>
      </c>
      <c r="C2440" s="3" t="str">
        <f>"TFC000001509"</f>
        <v>TFC000001509</v>
      </c>
      <c r="D2440" s="3" t="str">
        <f>"F800-20-1682-18(AR 3.4)"</f>
        <v>F800-20-1682-18(AR 3.4)</v>
      </c>
      <c r="E2440" s="3" t="str">
        <f>"(The)catnapping mystery"</f>
        <v>(The)catnapping mystery</v>
      </c>
      <c r="F2440" s="3" t="str">
        <f>"by David A. Adler ; illustrated by Susanna Natti"</f>
        <v>by David A. Adler ; illustrated by Susanna Natti</v>
      </c>
      <c r="G2440" s="3" t="str">
        <f>"Puffin Books"</f>
        <v>Puffin Books</v>
      </c>
      <c r="H2440" s="2" t="str">
        <f>"2011"</f>
        <v>2011</v>
      </c>
      <c r="I2440" s="3" t="str">
        <f>""</f>
        <v/>
      </c>
    </row>
    <row r="2441" spans="1:9" x14ac:dyDescent="0.3">
      <c r="A2441" s="2">
        <v>2440</v>
      </c>
      <c r="B2441" s="4">
        <v>3.4</v>
      </c>
      <c r="C2441" s="3" t="str">
        <f>"TFC000001505"</f>
        <v>TFC000001505</v>
      </c>
      <c r="D2441" s="3" t="str">
        <f>"F800-20-1678-2(AR 3.4)"</f>
        <v>F800-20-1678-2(AR 3.4)</v>
      </c>
      <c r="E2441" s="3" t="str">
        <f>"(The)mystery of the U.F.O."</f>
        <v>(The)mystery of the U.F.O.</v>
      </c>
      <c r="F2441" s="3" t="str">
        <f>"by David A. Adler ; illustrated by Susanna Natti"</f>
        <v>by David A. Adler ; illustrated by Susanna Natti</v>
      </c>
      <c r="G2441" s="3" t="str">
        <f>"Puffin Books"</f>
        <v>Puffin Books</v>
      </c>
      <c r="H2441" s="2" t="str">
        <f>"2010"</f>
        <v>2010</v>
      </c>
      <c r="I2441" s="3" t="str">
        <f>""</f>
        <v/>
      </c>
    </row>
    <row r="2442" spans="1:9" x14ac:dyDescent="0.3">
      <c r="A2442" s="2">
        <v>2441</v>
      </c>
      <c r="B2442" s="4">
        <v>3.4</v>
      </c>
      <c r="C2442" s="3" t="str">
        <f>"TFC000003434"</f>
        <v>TFC000003434</v>
      </c>
      <c r="D2442" s="3" t="str">
        <f>"F800-21-0608-2(AR 3.4)"</f>
        <v>F800-21-0608-2(AR 3.4)</v>
      </c>
      <c r="E2442" s="3" t="str">
        <f>"Dragon Masters. 2, Saving the sun dragon"</f>
        <v>Dragon Masters. 2, Saving the sun dragon</v>
      </c>
      <c r="F2442" s="3" t="str">
        <f>"by Tracey West ; illustrated by Graham Howells"</f>
        <v>by Tracey West ; illustrated by Graham Howells</v>
      </c>
      <c r="G2442" s="3" t="str">
        <f>"Scholastic"</f>
        <v>Scholastic</v>
      </c>
      <c r="H2442" s="2" t="str">
        <f>"2014"</f>
        <v>2014</v>
      </c>
      <c r="I2442" s="3" t="str">
        <f>""</f>
        <v/>
      </c>
    </row>
    <row r="2443" spans="1:9" x14ac:dyDescent="0.3">
      <c r="A2443" s="2">
        <v>2442</v>
      </c>
      <c r="B2443" s="4">
        <v>3.4</v>
      </c>
      <c r="C2443" s="3" t="str">
        <f>"TFC000001510"</f>
        <v>TFC000001510</v>
      </c>
      <c r="D2443" s="3" t="str">
        <f>"F800-20-1683-21(AR 3.4)"</f>
        <v>F800-20-1683-21(AR 3.4)</v>
      </c>
      <c r="E2443" s="3" t="str">
        <f>"(The)school play mystery"</f>
        <v>(The)school play mystery</v>
      </c>
      <c r="F2443" s="3" t="str">
        <f>"by David A. Adler ; illustrated by Susanna Natti"</f>
        <v>by David A. Adler ; illustrated by Susanna Natti</v>
      </c>
      <c r="G2443" s="3" t="str">
        <f>"Puffin Books"</f>
        <v>Puffin Books</v>
      </c>
      <c r="H2443" s="2" t="str">
        <f>"2011"</f>
        <v>2011</v>
      </c>
      <c r="I2443" s="3" t="str">
        <f>""</f>
        <v/>
      </c>
    </row>
    <row r="2444" spans="1:9" x14ac:dyDescent="0.3">
      <c r="A2444" s="2">
        <v>2443</v>
      </c>
      <c r="B2444" s="4">
        <v>3.4</v>
      </c>
      <c r="C2444" s="3" t="str">
        <f>"TFC000001511"</f>
        <v>TFC000001511</v>
      </c>
      <c r="D2444" s="3" t="str">
        <f>"F800-20-1684-24(AR 3.4)"</f>
        <v>F800-20-1684-24(AR 3.4)</v>
      </c>
      <c r="E2444" s="3" t="str">
        <f>"(The)snowy day mystery"</f>
        <v>(The)snowy day mystery</v>
      </c>
      <c r="F2444" s="3" t="str">
        <f>"by David A. Adler ; illustrated by Susanna Natti"</f>
        <v>by David A. Adler ; illustrated by Susanna Natti</v>
      </c>
      <c r="G2444" s="3" t="str">
        <f>"Puffin Books"</f>
        <v>Puffin Books</v>
      </c>
      <c r="H2444" s="2" t="str">
        <f>"2010"</f>
        <v>2010</v>
      </c>
      <c r="I2444" s="3" t="str">
        <f>""</f>
        <v/>
      </c>
    </row>
    <row r="2445" spans="1:9" x14ac:dyDescent="0.3">
      <c r="A2445" s="2">
        <v>2444</v>
      </c>
      <c r="B2445" s="4">
        <v>3.4</v>
      </c>
      <c r="C2445" s="3" t="str">
        <f>"TFC000001512"</f>
        <v>TFC000001512</v>
      </c>
      <c r="D2445" s="3" t="str">
        <f>"F800-20-1685-25(AR 3.4)"</f>
        <v>F800-20-1685-25(AR 3.4)</v>
      </c>
      <c r="E2445" s="3" t="str">
        <f>"(The)Valentine baby mystery"</f>
        <v>(The)Valentine baby mystery</v>
      </c>
      <c r="F2445" s="3" t="str">
        <f>"by David A. Adler ; illustrated by Susanna Natti"</f>
        <v>by David A. Adler ; illustrated by Susanna Natti</v>
      </c>
      <c r="G2445" s="3" t="str">
        <f>"Puffin Books"</f>
        <v>Puffin Books</v>
      </c>
      <c r="H2445" s="2" t="str">
        <f>"2011"</f>
        <v>2011</v>
      </c>
      <c r="I2445" s="3" t="str">
        <f>""</f>
        <v/>
      </c>
    </row>
    <row r="2446" spans="1:9" x14ac:dyDescent="0.3">
      <c r="A2446" s="2">
        <v>2445</v>
      </c>
      <c r="B2446" s="4">
        <v>3.4</v>
      </c>
      <c r="C2446" s="3" t="str">
        <f>"TFC000001513"</f>
        <v>TFC000001513</v>
      </c>
      <c r="D2446" s="3" t="str">
        <f>"F800-20-1686-27(AR 3.4)"</f>
        <v>F800-20-1686-27(AR 3.4)</v>
      </c>
      <c r="E2446" s="3" t="str">
        <f>"(The)mystery writer mystery"</f>
        <v>(The)mystery writer mystery</v>
      </c>
      <c r="F2446" s="3" t="str">
        <f>"by David A. Adler ; illustrated by Joy Allen"</f>
        <v>by David A. Adler ; illustrated by Joy Allen</v>
      </c>
      <c r="G2446" s="3" t="str">
        <f>"Puffin Books"</f>
        <v>Puffin Books</v>
      </c>
      <c r="H2446" s="2" t="str">
        <f>"2011"</f>
        <v>2011</v>
      </c>
      <c r="I2446" s="3" t="str">
        <f>""</f>
        <v/>
      </c>
    </row>
    <row r="2447" spans="1:9" x14ac:dyDescent="0.3">
      <c r="A2447" s="2">
        <v>2446</v>
      </c>
      <c r="B2447" s="4">
        <v>3.4</v>
      </c>
      <c r="C2447" s="3" t="str">
        <f>"TFC000001506"</f>
        <v>TFC000001506</v>
      </c>
      <c r="D2447" s="3" t="str">
        <f>"F800-20-1679-4(AR 3.4)"</f>
        <v>F800-20-1679-4(AR 3.4)</v>
      </c>
      <c r="E2447" s="3" t="str">
        <f>"(The)mystery of the television dog"</f>
        <v>(The)mystery of the television dog</v>
      </c>
      <c r="F2447" s="3" t="str">
        <f>"by David A. Adler ; illustrated by Susanna Natti"</f>
        <v>by David A. Adler ; illustrated by Susanna Natti</v>
      </c>
      <c r="G2447" s="3" t="str">
        <f>"Puffin Books"</f>
        <v>Puffin Books</v>
      </c>
      <c r="H2447" s="2" t="str">
        <f>"2010"</f>
        <v>2010</v>
      </c>
      <c r="I2447" s="3" t="str">
        <f>""</f>
        <v/>
      </c>
    </row>
    <row r="2448" spans="1:9" x14ac:dyDescent="0.3">
      <c r="A2448" s="2">
        <v>2447</v>
      </c>
      <c r="B2448" s="4">
        <v>3.4</v>
      </c>
      <c r="C2448" s="3" t="str">
        <f>"TFC000001566"</f>
        <v>TFC000001566</v>
      </c>
      <c r="D2448" s="3" t="str">
        <f>"F800-20-1739-4(AR 3.4)"</f>
        <v>F800-20-1739-4(AR 3.4)</v>
      </c>
      <c r="E2448" s="3" t="str">
        <f>"Dragon masters. 4, power of the fire dragon"</f>
        <v>Dragon masters. 4, power of the fire dragon</v>
      </c>
      <c r="F2448" s="3" t="str">
        <f>"by Tracey West ; illustrated by Graham Howells"</f>
        <v>by Tracey West ; illustrated by Graham Howells</v>
      </c>
      <c r="G2448" s="3" t="str">
        <f>"Scholastic"</f>
        <v>Scholastic</v>
      </c>
      <c r="H2448" s="2" t="str">
        <f>"2015"</f>
        <v>2015</v>
      </c>
      <c r="I2448" s="3" t="str">
        <f>""</f>
        <v/>
      </c>
    </row>
    <row r="2449" spans="1:9" x14ac:dyDescent="0.3">
      <c r="A2449" s="2">
        <v>2448</v>
      </c>
      <c r="B2449" s="4">
        <v>3.4</v>
      </c>
      <c r="C2449" s="3" t="str">
        <f>"TFC000004255"</f>
        <v>TFC000004255</v>
      </c>
      <c r="D2449" s="3" t="str">
        <f>"F800-22-0034-4(AR 3.4)"</f>
        <v>F800-22-0034-4(AR 3.4)</v>
      </c>
      <c r="E2449" s="3" t="str">
        <f>"(The)Critter club. 4, Marion takes a break"</f>
        <v>(The)Critter club. 4, Marion takes a break</v>
      </c>
      <c r="F2449" s="3" t="str">
        <f>"by Callie Barkley, illustrated by Marsha Riti"</f>
        <v>by Callie Barkley, illustrated by Marsha Riti</v>
      </c>
      <c r="G2449" s="3" t="str">
        <f>"LittleSimon"</f>
        <v>LittleSimon</v>
      </c>
      <c r="H2449" s="2" t="str">
        <f>"2013"</f>
        <v>2013</v>
      </c>
      <c r="I2449" s="3" t="str">
        <f>""</f>
        <v/>
      </c>
    </row>
    <row r="2450" spans="1:9" x14ac:dyDescent="0.3">
      <c r="A2450" s="2">
        <v>2449</v>
      </c>
      <c r="B2450" s="4">
        <v>3.4</v>
      </c>
      <c r="C2450" s="3" t="str">
        <f>"TFC000001567"</f>
        <v>TFC000001567</v>
      </c>
      <c r="D2450" s="3" t="str">
        <f>"F800-20-1740-5(AR 3.4)"</f>
        <v>F800-20-1740-5(AR 3.4)</v>
      </c>
      <c r="E2450" s="3" t="str">
        <f>"Dragon masters. 5, song of the poison dragon"</f>
        <v>Dragon masters. 5, song of the poison dragon</v>
      </c>
      <c r="F2450" s="3" t="str">
        <f>"by Tracey West ; illustrated by Graham Howells"</f>
        <v>by Tracey West ; illustrated by Graham Howells</v>
      </c>
      <c r="G2450" s="3" t="str">
        <f>"Scholastic"</f>
        <v>Scholastic</v>
      </c>
      <c r="H2450" s="2" t="str">
        <f>"2016"</f>
        <v>2016</v>
      </c>
      <c r="I2450" s="3" t="str">
        <f>""</f>
        <v/>
      </c>
    </row>
    <row r="2451" spans="1:9" x14ac:dyDescent="0.3">
      <c r="A2451" s="2">
        <v>2450</v>
      </c>
      <c r="B2451" s="4">
        <v>3.4</v>
      </c>
      <c r="C2451" s="3" t="str">
        <f>"TFC000004006"</f>
        <v>TFC000004006</v>
      </c>
      <c r="D2451" s="3" t="str">
        <f>"F800-21-0620-6(AR 3.4)"</f>
        <v>F800-21-0620-6(AR 3.4)</v>
      </c>
      <c r="E2451" s="3" t="str">
        <f>"Judy Moody. 6, Judy Moody declares independence"</f>
        <v>Judy Moody. 6, Judy Moody declares independence</v>
      </c>
      <c r="F2451" s="3" t="str">
        <f>"by Megan McDonald, illustrations by Peter H. Reynolds"</f>
        <v>by Megan McDonald, illustrations by Peter H. Reynolds</v>
      </c>
      <c r="G2451" s="3" t="str">
        <f>"Candlewick Press"</f>
        <v>Candlewick Press</v>
      </c>
      <c r="H2451" s="2" t="str">
        <f>"2018"</f>
        <v>2018</v>
      </c>
      <c r="I2451" s="3" t="str">
        <f>""</f>
        <v/>
      </c>
    </row>
    <row r="2452" spans="1:9" x14ac:dyDescent="0.3">
      <c r="A2452" s="2">
        <v>2451</v>
      </c>
      <c r="B2452" s="4">
        <v>3.4</v>
      </c>
      <c r="C2452" s="3" t="str">
        <f>"TFC000004257"</f>
        <v>TFC000004257</v>
      </c>
      <c r="D2452" s="3" t="str">
        <f>"F800-22-0035-6(AR 3.4)"</f>
        <v>F800-22-0035-6(AR 3.4)</v>
      </c>
      <c r="E2452" s="3" t="str">
        <f>"(The)Critter club. 6, Ellie's lovely idea"</f>
        <v>(The)Critter club. 6, Ellie's lovely idea</v>
      </c>
      <c r="F2452" s="3" t="str">
        <f>"by Callie Varkley, illustrated by Marsha Riti"</f>
        <v>by Callie Varkley, illustrated by Marsha Riti</v>
      </c>
      <c r="G2452" s="3" t="str">
        <f>"Little Simon"</f>
        <v>Little Simon</v>
      </c>
      <c r="H2452" s="2" t="str">
        <f>"2013"</f>
        <v>2013</v>
      </c>
      <c r="I2452" s="3" t="str">
        <f>""</f>
        <v/>
      </c>
    </row>
    <row r="2453" spans="1:9" x14ac:dyDescent="0.3">
      <c r="A2453" s="2">
        <v>2452</v>
      </c>
      <c r="B2453" s="4">
        <v>3.4</v>
      </c>
      <c r="C2453" s="3" t="str">
        <f>"TFC000001568"</f>
        <v>TFC000001568</v>
      </c>
      <c r="D2453" s="3" t="str">
        <f>"F800-20-1741-7(AR 3.4)"</f>
        <v>F800-20-1741-7(AR 3.4)</v>
      </c>
      <c r="E2453" s="3" t="str">
        <f>"Dragon masters. 7, search for the lightning dragon"</f>
        <v>Dragon masters. 7, search for the lightning dragon</v>
      </c>
      <c r="F2453" s="3" t="str">
        <f>"by Tracey West ; illustrated by Graham Howells"</f>
        <v>by Tracey West ; illustrated by Graham Howells</v>
      </c>
      <c r="G2453" s="3" t="str">
        <f>"Scholastic"</f>
        <v>Scholastic</v>
      </c>
      <c r="H2453" s="2" t="str">
        <f>"2017"</f>
        <v>2017</v>
      </c>
      <c r="I2453" s="3" t="str">
        <f>""</f>
        <v/>
      </c>
    </row>
    <row r="2454" spans="1:9" x14ac:dyDescent="0.3">
      <c r="A2454" s="2">
        <v>2453</v>
      </c>
      <c r="B2454" s="4" t="s">
        <v>35</v>
      </c>
      <c r="C2454" s="3" t="str">
        <f>"TFC000003433"</f>
        <v>TFC000003433</v>
      </c>
      <c r="D2454" s="3" t="str">
        <f>"F800-21-0607-8(AR 3.4)"</f>
        <v>F800-21-0607-8(AR 3.4)</v>
      </c>
      <c r="E2454" s="3" t="str">
        <f>"Dragon Masters. 8, Roar of the thunder dragon"</f>
        <v>Dragon Masters. 8, Roar of the thunder dragon</v>
      </c>
      <c r="F2454" s="3" t="str">
        <f>"by Tracey West ; illustrated by Graham Howells"</f>
        <v>by Tracey West ; illustrated by Graham Howells</v>
      </c>
      <c r="G2454" s="3" t="str">
        <f>"Scholastic"</f>
        <v>Scholastic</v>
      </c>
      <c r="H2454" s="2" t="str">
        <f>"2015"</f>
        <v>2015</v>
      </c>
      <c r="I2454" s="3" t="str">
        <f>""</f>
        <v/>
      </c>
    </row>
    <row r="2455" spans="1:9" x14ac:dyDescent="0.3">
      <c r="A2455" s="2">
        <v>2454</v>
      </c>
      <c r="B2455" s="4" t="s">
        <v>35</v>
      </c>
      <c r="C2455" s="3" t="str">
        <f>"TFC000004717"</f>
        <v>TFC000004717</v>
      </c>
      <c r="D2455" s="3" t="str">
        <f>"F800-22-0519-8(AR 3.4)"</f>
        <v>F800-22-0519-8(AR 3.4)</v>
      </c>
      <c r="E2455" s="3" t="str">
        <f>"(The)104-Storey Treehouse"</f>
        <v>(The)104-Storey Treehouse</v>
      </c>
      <c r="F2455" s="3" t="str">
        <f>"by Andy Griffiths, illustrated by Terry Denton"</f>
        <v>by Andy Griffiths, illustrated by Terry Denton</v>
      </c>
      <c r="G2455" s="3" t="str">
        <f>"Macmillan Childre's Books"</f>
        <v>Macmillan Childre's Books</v>
      </c>
      <c r="H2455" s="2" t="str">
        <f>"2018"</f>
        <v>2018</v>
      </c>
      <c r="I2455" s="3" t="str">
        <f>""</f>
        <v/>
      </c>
    </row>
    <row r="2456" spans="1:9" x14ac:dyDescent="0.3">
      <c r="A2456" s="2">
        <v>2455</v>
      </c>
      <c r="B2456" s="4" t="s">
        <v>36</v>
      </c>
      <c r="C2456" s="3" t="str">
        <f>"TFC000001623"</f>
        <v>TFC000001623</v>
      </c>
      <c r="D2456" s="3" t="str">
        <f>"F800-20-1803-(AR 3.5)"</f>
        <v>F800-20-1803-(AR 3.5)</v>
      </c>
      <c r="E2456" s="3" t="str">
        <f>"Stories of fairytale castles"</f>
        <v>Stories of fairytale castles</v>
      </c>
      <c r="F2456" s="3" t="str">
        <f>"retold by Anna Lester ; illustrated by Maria Cristina Lo Cascio"</f>
        <v>retold by Anna Lester ; illustrated by Maria Cristina Lo Cascio</v>
      </c>
      <c r="G2456" s="3" t="str">
        <f>"Usborne"</f>
        <v>Usborne</v>
      </c>
      <c r="H2456" s="2" t="str">
        <f>"2007"</f>
        <v>2007</v>
      </c>
      <c r="I2456" s="2" t="s">
        <v>2</v>
      </c>
    </row>
    <row r="2457" spans="1:9" x14ac:dyDescent="0.3">
      <c r="A2457" s="2">
        <v>2456</v>
      </c>
      <c r="B2457" s="4" t="s">
        <v>36</v>
      </c>
      <c r="C2457" s="3" t="str">
        <f>"TFC000003752"</f>
        <v>TFC000003752</v>
      </c>
      <c r="D2457" s="3" t="str">
        <f>"F800-21-0640-(AR 3.5)"</f>
        <v>F800-21-0640-(AR 3.5)</v>
      </c>
      <c r="E2457" s="3" t="str">
        <f>"St. Patrick's day from the black lagoon"</f>
        <v>St. Patrick's day from the black lagoon</v>
      </c>
      <c r="F2457" s="3" t="str">
        <f>"by Mike Thaler ; illustraed by Jared lee"</f>
        <v>by Mike Thaler ; illustraed by Jared lee</v>
      </c>
      <c r="G2457" s="3" t="str">
        <f>"Scholastic"</f>
        <v>Scholastic</v>
      </c>
      <c r="H2457" s="2" t="str">
        <f>"2011"</f>
        <v>2011</v>
      </c>
      <c r="I2457" s="3" t="str">
        <f>""</f>
        <v/>
      </c>
    </row>
    <row r="2458" spans="1:9" x14ac:dyDescent="0.3">
      <c r="A2458" s="2">
        <v>2457</v>
      </c>
      <c r="B2458" s="4" t="s">
        <v>36</v>
      </c>
      <c r="C2458" s="3" t="str">
        <f>"TFC000003725"</f>
        <v>TFC000003725</v>
      </c>
      <c r="D2458" s="3" t="str">
        <f>"F800-21-0639-(AR 3.5)"</f>
        <v>F800-21-0639-(AR 3.5)</v>
      </c>
      <c r="E2458" s="3" t="str">
        <f>"Eerie elementary. 5, School freezes over!"</f>
        <v>Eerie elementary. 5, School freezes over!</v>
      </c>
      <c r="F2458" s="3" t="str">
        <f>"by Jack Chabert ; illustrated by Sam Ricks"</f>
        <v>by Jack Chabert ; illustrated by Sam Ricks</v>
      </c>
      <c r="G2458" s="3" t="str">
        <f>"Scholastic:ABDO Spotlight"</f>
        <v>Scholastic:ABDO Spotlight</v>
      </c>
      <c r="H2458" s="2" t="str">
        <f>"2019"</f>
        <v>2019</v>
      </c>
      <c r="I2458" s="3" t="str">
        <f>""</f>
        <v/>
      </c>
    </row>
    <row r="2459" spans="1:9" x14ac:dyDescent="0.3">
      <c r="A2459" s="2">
        <v>2458</v>
      </c>
      <c r="B2459" s="4" t="s">
        <v>36</v>
      </c>
      <c r="C2459" s="3" t="str">
        <f>"TFC000001580"</f>
        <v>TFC000001580</v>
      </c>
      <c r="D2459" s="3" t="str">
        <f>"F400-20-1758-(AR 3.5)"</f>
        <v>F400-20-1758-(AR 3.5)</v>
      </c>
      <c r="E2459" s="3" t="str">
        <f>"Is there life in outer space?"</f>
        <v>Is there life in outer space?</v>
      </c>
      <c r="F2459" s="3" t="str">
        <f>"by Franklyn M. Branley ; illustrated by Edward Miller"</f>
        <v>by Franklyn M. Branley ; illustrated by Edward Miller</v>
      </c>
      <c r="G2459" s="3" t="str">
        <f>"HarperCollins Publishers"</f>
        <v>HarperCollins Publishers</v>
      </c>
      <c r="H2459" s="2" t="str">
        <f>"1999"</f>
        <v>1999</v>
      </c>
      <c r="I2459" s="3" t="str">
        <f>""</f>
        <v/>
      </c>
    </row>
    <row r="2460" spans="1:9" x14ac:dyDescent="0.3">
      <c r="A2460" s="2">
        <v>2459</v>
      </c>
      <c r="B2460" s="4" t="s">
        <v>36</v>
      </c>
      <c r="C2460" s="3" t="str">
        <f>"TFC000001581"</f>
        <v>TFC000001581</v>
      </c>
      <c r="D2460" s="3" t="str">
        <f>"F400-20-1759-(AR 3.5)"</f>
        <v>F400-20-1759-(AR 3.5)</v>
      </c>
      <c r="E2460" s="3" t="str">
        <f>"Dive! : a book of deep-sea creatures"</f>
        <v>Dive! : a book of deep-sea creatures</v>
      </c>
      <c r="F2460" s="3" t="str">
        <f>"by Melvin Berger"</f>
        <v>by Melvin Berger</v>
      </c>
      <c r="G2460" s="3" t="str">
        <f>"Scholastic"</f>
        <v>Scholastic</v>
      </c>
      <c r="H2460" s="2" t="str">
        <f>"2000"</f>
        <v>2000</v>
      </c>
      <c r="I2460" s="3" t="str">
        <f>""</f>
        <v/>
      </c>
    </row>
    <row r="2461" spans="1:9" x14ac:dyDescent="0.3">
      <c r="A2461" s="2">
        <v>2460</v>
      </c>
      <c r="B2461" s="4" t="s">
        <v>36</v>
      </c>
      <c r="C2461" s="3" t="str">
        <f>"TFC000001582"</f>
        <v>TFC000001582</v>
      </c>
      <c r="D2461" s="3" t="str">
        <f>"F400-20-1760-(AR 3.5)"</f>
        <v>F400-20-1760-(AR 3.5)</v>
      </c>
      <c r="E2461" s="3" t="str">
        <f>"Baby whales drink milk"</f>
        <v>Baby whales drink milk</v>
      </c>
      <c r="F2461" s="3" t="str">
        <f>"by Barbara Juster Esbensen ; illustrated by Lambert Davis"</f>
        <v>by Barbara Juster Esbensen ; illustrated by Lambert Davis</v>
      </c>
      <c r="G2461" s="3" t="str">
        <f>"HarperCollins:HarperTrophy"</f>
        <v>HarperCollins:HarperTrophy</v>
      </c>
      <c r="H2461" s="2" t="str">
        <f>"1994"</f>
        <v>1994</v>
      </c>
      <c r="I2461" s="3" t="str">
        <f>""</f>
        <v/>
      </c>
    </row>
    <row r="2462" spans="1:9" x14ac:dyDescent="0.3">
      <c r="A2462" s="2">
        <v>2461</v>
      </c>
      <c r="B2462" s="4" t="s">
        <v>36</v>
      </c>
      <c r="C2462" s="3" t="str">
        <f>"TFC000001583"</f>
        <v>TFC000001583</v>
      </c>
      <c r="D2462" s="3" t="str">
        <f>"F500-20-1763-(AR 3.5)"</f>
        <v>F500-20-1763-(AR 3.5)</v>
      </c>
      <c r="E2462" s="3" t="str">
        <f>"Choppers!"</f>
        <v>Choppers!</v>
      </c>
      <c r="F2462" s="3" t="str">
        <f>"by Susan E. Goodman ; photographs taken and selected by Michael J. Doolittle"</f>
        <v>by Susan E. Goodman ; photographs taken and selected by Michael J. Doolittle</v>
      </c>
      <c r="G2462" s="3" t="str">
        <f>"Random House"</f>
        <v>Random House</v>
      </c>
      <c r="H2462" s="2" t="str">
        <f>"2004"</f>
        <v>2004</v>
      </c>
      <c r="I2462" s="3" t="str">
        <f>""</f>
        <v/>
      </c>
    </row>
    <row r="2463" spans="1:9" x14ac:dyDescent="0.3">
      <c r="A2463" s="2">
        <v>2462</v>
      </c>
      <c r="B2463" s="4" t="s">
        <v>36</v>
      </c>
      <c r="C2463" s="3" t="str">
        <f>"TFC000001585"</f>
        <v>TFC000001585</v>
      </c>
      <c r="D2463" s="3" t="str">
        <f>"F800-20-1765-(AR 3.5)"</f>
        <v>F800-20-1765-(AR 3.5)</v>
      </c>
      <c r="E2463" s="3" t="str">
        <f>"Romeo and Juliet"</f>
        <v>Romeo and Juliet</v>
      </c>
      <c r="F2463" s="3" t="str">
        <f>"from the play by William Shakespearep ; retold by Mairi Mackinnon ; illustrated by Simona Bursi"</f>
        <v>from the play by William Shakespearep ; retold by Mairi Mackinnon ; illustrated by Simona Bursi</v>
      </c>
      <c r="G2463" s="3" t="str">
        <f>"Usborne"</f>
        <v>Usborne</v>
      </c>
      <c r="H2463" s="2" t="str">
        <f>"2018"</f>
        <v>2018</v>
      </c>
      <c r="I2463" s="3" t="str">
        <f>""</f>
        <v/>
      </c>
    </row>
    <row r="2464" spans="1:9" x14ac:dyDescent="0.3">
      <c r="A2464" s="2">
        <v>2463</v>
      </c>
      <c r="B2464" s="4" t="s">
        <v>36</v>
      </c>
      <c r="C2464" s="3" t="str">
        <f>"TFC000001586"</f>
        <v>TFC000001586</v>
      </c>
      <c r="D2464" s="3" t="str">
        <f>"F800-20-1766-(AR 3.5)"</f>
        <v>F800-20-1766-(AR 3.5)</v>
      </c>
      <c r="E2464" s="3" t="str">
        <f>"How to be cool in the third grade"</f>
        <v>How to be cool in the third grade</v>
      </c>
      <c r="F2464" s="3" t="str">
        <f>"by Betsy Duffey ; illustrated by Janet Wilson"</f>
        <v>by Betsy Duffey ; illustrated by Janet Wilson</v>
      </c>
      <c r="G2464" s="3" t="str">
        <f>"Puffin Books"</f>
        <v>Puffin Books</v>
      </c>
      <c r="H2464" s="2" t="str">
        <f>"1999"</f>
        <v>1999</v>
      </c>
      <c r="I2464" s="3" t="str">
        <f>""</f>
        <v/>
      </c>
    </row>
    <row r="2465" spans="1:9" x14ac:dyDescent="0.3">
      <c r="A2465" s="2">
        <v>2464</v>
      </c>
      <c r="B2465" s="4" t="s">
        <v>36</v>
      </c>
      <c r="C2465" s="3" t="str">
        <f>"TFC000001587"</f>
        <v>TFC000001587</v>
      </c>
      <c r="D2465" s="3" t="str">
        <f>"F800-20-1767-(AR 3.5)"</f>
        <v>F800-20-1767-(AR 3.5)</v>
      </c>
      <c r="E2465" s="3" t="str">
        <f>"Corduroy"</f>
        <v>Corduroy</v>
      </c>
      <c r="F2465" s="3" t="str">
        <f>"story and pictures by Don Freeman"</f>
        <v>story and pictures by Don Freeman</v>
      </c>
      <c r="G2465" s="3" t="str">
        <f>"Puffin Book"</f>
        <v>Puffin Book</v>
      </c>
      <c r="H2465" s="2" t="str">
        <f>"1976"</f>
        <v>1976</v>
      </c>
      <c r="I2465" s="3" t="str">
        <f>""</f>
        <v/>
      </c>
    </row>
    <row r="2466" spans="1:9" x14ac:dyDescent="0.3">
      <c r="A2466" s="2">
        <v>2465</v>
      </c>
      <c r="B2466" s="4" t="s">
        <v>36</v>
      </c>
      <c r="C2466" s="3" t="str">
        <f>"TFC000001588"</f>
        <v>TFC000001588</v>
      </c>
      <c r="D2466" s="3" t="str">
        <f>"F800-20-1768-(AR 3.5)"</f>
        <v>F800-20-1768-(AR 3.5)</v>
      </c>
      <c r="E2466" s="3" t="str">
        <f>"Millions of cats"</f>
        <v>Millions of cats</v>
      </c>
      <c r="F2466" s="3" t="str">
        <f>"by Wanda Ga'G"</f>
        <v>by Wanda Ga'G</v>
      </c>
      <c r="G2466" s="3" t="str">
        <f>"Puffin Books"</f>
        <v>Puffin Books</v>
      </c>
      <c r="H2466" s="2" t="str">
        <f>"2007"</f>
        <v>2007</v>
      </c>
      <c r="I2466" s="3" t="str">
        <f>""</f>
        <v/>
      </c>
    </row>
    <row r="2467" spans="1:9" x14ac:dyDescent="0.3">
      <c r="A2467" s="2">
        <v>2466</v>
      </c>
      <c r="B2467" s="4" t="s">
        <v>36</v>
      </c>
      <c r="C2467" s="3" t="str">
        <f>"TFC000001589"</f>
        <v>TFC000001589</v>
      </c>
      <c r="D2467" s="3" t="str">
        <f>"F800-20-1769-(AR 3.5)"</f>
        <v>F800-20-1769-(AR 3.5)</v>
      </c>
      <c r="E2467" s="3" t="str">
        <f>"How I want from Bad to Verse"</f>
        <v>How I want from Bad to Verse</v>
      </c>
      <c r="F2467" s="3" t="str">
        <f>"by Dan Greenburg, illustrated by Jack E. Davis"</f>
        <v>by Dan Greenburg, illustrated by Jack E. Davis</v>
      </c>
      <c r="G2467" s="3" t="str">
        <f>"Grosset &amp; Dunlap"</f>
        <v>Grosset &amp; Dunlap</v>
      </c>
      <c r="H2467" s="2" t="str">
        <f>"2007"</f>
        <v>2007</v>
      </c>
      <c r="I2467" s="3" t="str">
        <f>""</f>
        <v/>
      </c>
    </row>
    <row r="2468" spans="1:9" x14ac:dyDescent="0.3">
      <c r="A2468" s="2">
        <v>2467</v>
      </c>
      <c r="B2468" s="4" t="s">
        <v>36</v>
      </c>
      <c r="C2468" s="3" t="str">
        <f>"TFC000001590"</f>
        <v>TFC000001590</v>
      </c>
      <c r="D2468" s="3" t="str">
        <f>"F800-20-1770-(AR 3.5)"</f>
        <v>F800-20-1770-(AR 3.5)</v>
      </c>
      <c r="E2468" s="3" t="str">
        <f>"This body's not big enough for both of us"</f>
        <v>This body's not big enough for both of us</v>
      </c>
      <c r="F2468" s="3" t="str">
        <f>"by Dan Greenburg ; illustrated by Jack E. Davis"</f>
        <v>by Dan Greenburg ; illustrated by Jack E. Davis</v>
      </c>
      <c r="G2468" s="3" t="str">
        <f>"Grosset &amp; Dunlap"</f>
        <v>Grosset &amp; Dunlap</v>
      </c>
      <c r="H2468" s="2" t="str">
        <f>"2000"</f>
        <v>2000</v>
      </c>
      <c r="I2468" s="3" t="str">
        <f>""</f>
        <v/>
      </c>
    </row>
    <row r="2469" spans="1:9" x14ac:dyDescent="0.3">
      <c r="A2469" s="2">
        <v>2468</v>
      </c>
      <c r="B2469" s="4" t="s">
        <v>36</v>
      </c>
      <c r="C2469" s="3" t="str">
        <f>"TFC000001591"</f>
        <v>TFC000001591</v>
      </c>
      <c r="D2469" s="3" t="str">
        <f>"F800-20-1771-(AR 3.5)"</f>
        <v>F800-20-1771-(AR 3.5)</v>
      </c>
      <c r="E2469" s="3" t="str">
        <f>"One fine day"</f>
        <v>One fine day</v>
      </c>
      <c r="F2469" s="3" t="str">
        <f>"by Nonny Hogrogian"</f>
        <v>by Nonny Hogrogian</v>
      </c>
      <c r="G2469" s="3" t="str">
        <f>"Aladdin Paperbacks"</f>
        <v>Aladdin Paperbacks</v>
      </c>
      <c r="H2469" s="2" t="str">
        <f>"1998"</f>
        <v>1998</v>
      </c>
      <c r="I2469" s="3" t="str">
        <f>""</f>
        <v/>
      </c>
    </row>
    <row r="2470" spans="1:9" x14ac:dyDescent="0.3">
      <c r="A2470" s="2">
        <v>2469</v>
      </c>
      <c r="B2470" s="4" t="s">
        <v>36</v>
      </c>
      <c r="C2470" s="3" t="str">
        <f>"TFC000001592"</f>
        <v>TFC000001592</v>
      </c>
      <c r="D2470" s="3" t="str">
        <f>"F800-20-1772-(AR 3.5)"</f>
        <v>F800-20-1772-(AR 3.5)</v>
      </c>
      <c r="E2470" s="3" t="str">
        <f>"(The)biggest pumpkin ever"</f>
        <v>(The)biggest pumpkin ever</v>
      </c>
      <c r="F2470" s="3" t="str">
        <f>"by Steven Kroll ; illustrated by Jeni Bassett"</f>
        <v>by Steven Kroll ; illustrated by Jeni Bassett</v>
      </c>
      <c r="G2470" s="3" t="str">
        <f>"Scholastic"</f>
        <v>Scholastic</v>
      </c>
      <c r="H2470" s="2" t="str">
        <f>"1984"</f>
        <v>1984</v>
      </c>
      <c r="I2470" s="3" t="str">
        <f>""</f>
        <v/>
      </c>
    </row>
    <row r="2471" spans="1:9" x14ac:dyDescent="0.3">
      <c r="A2471" s="2">
        <v>2470</v>
      </c>
      <c r="B2471" s="4" t="s">
        <v>36</v>
      </c>
      <c r="C2471" s="3" t="str">
        <f>"TFC000001593"</f>
        <v>TFC000001593</v>
      </c>
      <c r="D2471" s="3" t="str">
        <f>"F800-20-1773-(AR 3.5)"</f>
        <v>F800-20-1773-(AR 3.5)</v>
      </c>
      <c r="E2471" s="3" t="str">
        <f>"Facing west : a story of the oregon trail"</f>
        <v>Facing west : a story of the oregon trail</v>
      </c>
      <c r="F2471" s="3" t="str">
        <f>"by Kathleen V. Kudlinski ; illustrated by James Watling"</f>
        <v>by Kathleen V. Kudlinski ; illustrated by James Watling</v>
      </c>
      <c r="G2471" s="3" t="str">
        <f>"Puffin Books"</f>
        <v>Puffin Books</v>
      </c>
      <c r="H2471" s="2" t="str">
        <f>"1996"</f>
        <v>1996</v>
      </c>
      <c r="I2471" s="3" t="str">
        <f>""</f>
        <v/>
      </c>
    </row>
    <row r="2472" spans="1:9" x14ac:dyDescent="0.3">
      <c r="A2472" s="2">
        <v>2471</v>
      </c>
      <c r="B2472" s="4" t="s">
        <v>36</v>
      </c>
      <c r="C2472" s="3" t="str">
        <f>"TFC000001594"</f>
        <v>TFC000001594</v>
      </c>
      <c r="D2472" s="3" t="str">
        <f>"F800-20-1774-(AR 3.5)"</f>
        <v>F800-20-1774-(AR 3.5)</v>
      </c>
      <c r="E2472" s="3" t="str">
        <f>"Madeline and the cats of Rome"</f>
        <v>Madeline and the cats of Rome</v>
      </c>
      <c r="F2472" s="3" t="str">
        <f>"story and pictures by John Bemelmans Marciano"</f>
        <v>story and pictures by John Bemelmans Marciano</v>
      </c>
      <c r="G2472" s="3" t="str">
        <f>"Viking"</f>
        <v>Viking</v>
      </c>
      <c r="H2472" s="2" t="str">
        <f>"2008"</f>
        <v>2008</v>
      </c>
      <c r="I2472" s="3" t="str">
        <f>""</f>
        <v/>
      </c>
    </row>
    <row r="2473" spans="1:9" x14ac:dyDescent="0.3">
      <c r="A2473" s="2">
        <v>2472</v>
      </c>
      <c r="B2473" s="4" t="s">
        <v>36</v>
      </c>
      <c r="C2473" s="3" t="str">
        <f>"TFC000001595"</f>
        <v>TFC000001595</v>
      </c>
      <c r="D2473" s="3" t="str">
        <f>"F800-20-1775-(AR 3.5)"</f>
        <v>F800-20-1775-(AR 3.5)</v>
      </c>
      <c r="E2473" s="3" t="str">
        <f>"Anne of green gables"</f>
        <v>Anne of green gables</v>
      </c>
      <c r="F2473" s="3" t="str">
        <f>"by L. M. Montgomery ; adapted by Deborah Felder"</f>
        <v>by L. M. Montgomery ; adapted by Deborah Felder</v>
      </c>
      <c r="G2473" s="3" t="str">
        <f>"Random House"</f>
        <v>Random House</v>
      </c>
      <c r="H2473" s="2" t="str">
        <f>"2004"</f>
        <v>2004</v>
      </c>
      <c r="I2473" s="3" t="str">
        <f>""</f>
        <v/>
      </c>
    </row>
    <row r="2474" spans="1:9" x14ac:dyDescent="0.3">
      <c r="A2474" s="2">
        <v>2473</v>
      </c>
      <c r="B2474" s="4" t="s">
        <v>36</v>
      </c>
      <c r="C2474" s="3" t="str">
        <f>"TFC000001596"</f>
        <v>TFC000001596</v>
      </c>
      <c r="D2474" s="3" t="str">
        <f>"F800-20-1776-(AR 3.5)"</f>
        <v>F800-20-1776-(AR 3.5)</v>
      </c>
      <c r="E2474" s="3" t="str">
        <f>"Thunder cake"</f>
        <v>Thunder cake</v>
      </c>
      <c r="F2474" s="3" t="str">
        <f>"by Polacco Patricia"</f>
        <v>by Polacco Patricia</v>
      </c>
      <c r="G2474" s="3" t="str">
        <f>"PaperStar"</f>
        <v>PaperStar</v>
      </c>
      <c r="H2474" s="2" t="str">
        <f>"1997"</f>
        <v>1997</v>
      </c>
      <c r="I2474" s="3" t="str">
        <f>""</f>
        <v/>
      </c>
    </row>
    <row r="2475" spans="1:9" x14ac:dyDescent="0.3">
      <c r="A2475" s="2">
        <v>2474</v>
      </c>
      <c r="B2475" s="4" t="s">
        <v>36</v>
      </c>
      <c r="C2475" s="3" t="str">
        <f>"TFC000001597"</f>
        <v>TFC000001597</v>
      </c>
      <c r="D2475" s="3" t="str">
        <f>"F800-20-1777-(AR 3.5)"</f>
        <v>F800-20-1777-(AR 3.5)</v>
      </c>
      <c r="E2475" s="3" t="str">
        <f>"(The)mystery at the haunted house"</f>
        <v>(The)mystery at the haunted house</v>
      </c>
      <c r="F2475" s="3" t="str">
        <f>"by David A. Adler ; illustrated by Susanna Natti"</f>
        <v>by David A. Adler ; illustrated by Susanna Natti</v>
      </c>
      <c r="G2475" s="3" t="str">
        <f>"Puffin Books"</f>
        <v>Puffin Books</v>
      </c>
      <c r="H2475" s="2" t="str">
        <f>"2011"</f>
        <v>2011</v>
      </c>
      <c r="I2475" s="3" t="str">
        <f>""</f>
        <v/>
      </c>
    </row>
    <row r="2476" spans="1:9" x14ac:dyDescent="0.3">
      <c r="A2476" s="2">
        <v>2475</v>
      </c>
      <c r="B2476" s="4" t="s">
        <v>36</v>
      </c>
      <c r="C2476" s="3" t="str">
        <f>"TFC000001598"</f>
        <v>TFC000001598</v>
      </c>
      <c r="D2476" s="3" t="str">
        <f>"F800-20-1778-(AR 3.5)"</f>
        <v>F800-20-1778-(AR 3.5)</v>
      </c>
      <c r="E2476" s="3" t="str">
        <f>"(The)scary snake mystery"</f>
        <v>(The)scary snake mystery</v>
      </c>
      <c r="F2476" s="3" t="str">
        <f>"by David A. Adler ; illustrated by Susanna Natti"</f>
        <v>by David A. Adler ; illustrated by Susanna Natti</v>
      </c>
      <c r="G2476" s="3" t="str">
        <f>"Puffin Books"</f>
        <v>Puffin Books</v>
      </c>
      <c r="H2476" s="2" t="str">
        <f>"2011"</f>
        <v>2011</v>
      </c>
      <c r="I2476" s="3" t="str">
        <f>""</f>
        <v/>
      </c>
    </row>
    <row r="2477" spans="1:9" x14ac:dyDescent="0.3">
      <c r="A2477" s="2">
        <v>2476</v>
      </c>
      <c r="B2477" s="4" t="s">
        <v>36</v>
      </c>
      <c r="C2477" s="3" t="str">
        <f>"TFC000001599"</f>
        <v>TFC000001599</v>
      </c>
      <c r="D2477" s="3" t="str">
        <f>"F800-20-1779-(AR 3.5)"</f>
        <v>F800-20-1779-(AR 3.5)</v>
      </c>
      <c r="E2477" s="3" t="str">
        <f>"(The)barking treasure mystery"</f>
        <v>(The)barking treasure mystery</v>
      </c>
      <c r="F2477" s="3" t="str">
        <f>"by David A. Adler ; illustrated by Susanna Natti"</f>
        <v>by David A. Adler ; illustrated by Susanna Natti</v>
      </c>
      <c r="G2477" s="3" t="str">
        <f>"Puffin Books"</f>
        <v>Puffin Books</v>
      </c>
      <c r="H2477" s="2" t="str">
        <f>"2011"</f>
        <v>2011</v>
      </c>
      <c r="I2477" s="3" t="str">
        <f>""</f>
        <v/>
      </c>
    </row>
    <row r="2478" spans="1:9" x14ac:dyDescent="0.3">
      <c r="A2478" s="2">
        <v>2477</v>
      </c>
      <c r="B2478" s="4" t="s">
        <v>36</v>
      </c>
      <c r="C2478" s="3" t="str">
        <f>"TFC000001600"</f>
        <v>TFC000001600</v>
      </c>
      <c r="D2478" s="3" t="str">
        <f>"F800-20-1780-(AR 3.5)"</f>
        <v>F800-20-1780-(AR 3.5)</v>
      </c>
      <c r="E2478" s="3" t="str">
        <f>"(The)green school mystery"</f>
        <v>(The)green school mystery</v>
      </c>
      <c r="F2478" s="3" t="str">
        <f>"David A. Adler ; illustrated by Joy Allen"</f>
        <v>David A. Adler ; illustrated by Joy Allen</v>
      </c>
      <c r="G2478" s="3" t="str">
        <f>"Puffin Books"</f>
        <v>Puffin Books</v>
      </c>
      <c r="H2478" s="2" t="str">
        <f>"2011"</f>
        <v>2011</v>
      </c>
      <c r="I2478" s="3" t="str">
        <f>""</f>
        <v/>
      </c>
    </row>
    <row r="2479" spans="1:9" x14ac:dyDescent="0.3">
      <c r="A2479" s="2">
        <v>2478</v>
      </c>
      <c r="B2479" s="4" t="s">
        <v>36</v>
      </c>
      <c r="C2479" s="3" t="str">
        <f>"TFC000001601"</f>
        <v>TFC000001601</v>
      </c>
      <c r="D2479" s="3" t="str">
        <f>"F800-20-1781-(AR 3.5)"</f>
        <v>F800-20-1781-(AR 3.5)</v>
      </c>
      <c r="E2479" s="3" t="str">
        <f>"Home of the brave"</f>
        <v>Home of the brave</v>
      </c>
      <c r="F2479" s="3" t="str">
        <f>"Katherine Applegate"</f>
        <v>Katherine Applegate</v>
      </c>
      <c r="G2479" s="3" t="str">
        <f>"Square Fish"</f>
        <v>Square Fish</v>
      </c>
      <c r="H2479" s="2" t="str">
        <f>"2007"</f>
        <v>2007</v>
      </c>
      <c r="I2479" s="3" t="str">
        <f>""</f>
        <v/>
      </c>
    </row>
    <row r="2480" spans="1:9" x14ac:dyDescent="0.3">
      <c r="A2480" s="2">
        <v>2479</v>
      </c>
      <c r="B2480" s="4" t="s">
        <v>36</v>
      </c>
      <c r="C2480" s="3" t="str">
        <f>"TFC000001602"</f>
        <v>TFC000001602</v>
      </c>
      <c r="D2480" s="3" t="str">
        <f>"F800-20-1782-(AR 3.5)"</f>
        <v>F800-20-1782-(AR 3.5)</v>
      </c>
      <c r="E2480" s="3" t="str">
        <f>"(The)wizard of Oz"</f>
        <v>(The)wizard of Oz</v>
      </c>
      <c r="F2480" s="3" t="str">
        <f>"from the story by L. Frank Baum ; retold by Mairi Mackinnon ; illustrated by Davide Ortu"</f>
        <v>from the story by L. Frank Baum ; retold by Mairi Mackinnon ; illustrated by Davide Ortu</v>
      </c>
      <c r="G2480" s="3" t="str">
        <f>"Usborne"</f>
        <v>Usborne</v>
      </c>
      <c r="H2480" s="2" t="str">
        <f>"2016"</f>
        <v>2016</v>
      </c>
      <c r="I2480" s="3" t="str">
        <f>""</f>
        <v/>
      </c>
    </row>
    <row r="2481" spans="1:9" x14ac:dyDescent="0.3">
      <c r="A2481" s="2">
        <v>2480</v>
      </c>
      <c r="B2481" s="4" t="s">
        <v>36</v>
      </c>
      <c r="C2481" s="3" t="str">
        <f>"TFC000001603"</f>
        <v>TFC000001603</v>
      </c>
      <c r="D2481" s="3" t="str">
        <f>"F800-20-1783-(AR 3.5)"</f>
        <v>F800-20-1783-(AR 3.5)</v>
      </c>
      <c r="E2481" s="3" t="str">
        <f>"Wolf!"</f>
        <v>Wolf!</v>
      </c>
      <c r="F2481" s="3" t="str">
        <f>"by Becky Bloom ; illustrated by Pascal Biet"</f>
        <v>by Becky Bloom ; illustrated by Pascal Biet</v>
      </c>
      <c r="G2481" s="3" t="str">
        <f>"Orchard Books"</f>
        <v>Orchard Books</v>
      </c>
      <c r="H2481" s="2" t="str">
        <f>"1999"</f>
        <v>1999</v>
      </c>
      <c r="I2481" s="3" t="str">
        <f>""</f>
        <v/>
      </c>
    </row>
    <row r="2482" spans="1:9" x14ac:dyDescent="0.3">
      <c r="A2482" s="2">
        <v>2481</v>
      </c>
      <c r="B2482" s="4" t="s">
        <v>36</v>
      </c>
      <c r="C2482" s="3" t="str">
        <f>"TFC000001604"</f>
        <v>TFC000001604</v>
      </c>
      <c r="D2482" s="3" t="str">
        <f>"F800-20-1784-(AR 3.5)"</f>
        <v>F800-20-1784-(AR 3.5)</v>
      </c>
      <c r="E2482" s="3" t="str">
        <f>"Otherwise known as shelia the great"</f>
        <v>Otherwise known as shelia the great</v>
      </c>
      <c r="F2482" s="3" t="str">
        <f>"by Judy Blume"</f>
        <v>by Judy Blume</v>
      </c>
      <c r="G2482" s="3" t="str">
        <f>"Puffin Books"</f>
        <v>Puffin Books</v>
      </c>
      <c r="H2482" s="2" t="str">
        <f>"2007"</f>
        <v>2007</v>
      </c>
      <c r="I2482" s="3" t="str">
        <f>""</f>
        <v/>
      </c>
    </row>
    <row r="2483" spans="1:9" x14ac:dyDescent="0.3">
      <c r="A2483" s="2">
        <v>2482</v>
      </c>
      <c r="B2483" s="4" t="s">
        <v>36</v>
      </c>
      <c r="C2483" s="3" t="str">
        <f>"TFC000001605"</f>
        <v>TFC000001605</v>
      </c>
      <c r="D2483" s="3" t="str">
        <f>"F800-20-1785-(AR 3.5)"</f>
        <v>F800-20-1785-(AR 3.5)</v>
      </c>
      <c r="E2483" s="3" t="str">
        <f>"(The)surprise party"</f>
        <v>(The)surprise party</v>
      </c>
      <c r="F2483" s="3" t="str">
        <f>"Tony Bradman ; illustrated by Martin Chatterton"</f>
        <v>Tony Bradman ; illustrated by Martin Chatterton</v>
      </c>
      <c r="G2483" s="3" t="str">
        <f>"Egmont"</f>
        <v>Egmont</v>
      </c>
      <c r="H2483" s="2" t="str">
        <f>"2004"</f>
        <v>2004</v>
      </c>
      <c r="I2483" s="3" t="str">
        <f>""</f>
        <v/>
      </c>
    </row>
    <row r="2484" spans="1:9" x14ac:dyDescent="0.3">
      <c r="A2484" s="2">
        <v>2483</v>
      </c>
      <c r="B2484" s="4" t="s">
        <v>36</v>
      </c>
      <c r="C2484" s="3" t="str">
        <f>"TFC000001608"</f>
        <v>TFC000001608</v>
      </c>
      <c r="D2484" s="3" t="str">
        <f>"F800-20-1788-(AR 3.5)"</f>
        <v>F800-20-1788-(AR 3.5)</v>
      </c>
      <c r="E2484" s="3" t="str">
        <f>"Juno Valentine and the fantastic fashion adventure"</f>
        <v>Juno Valentine and the fantastic fashion adventure</v>
      </c>
      <c r="F2484" s="3" t="str">
        <f>"written by Eva Chen ; illustrated by Derek Desierto"</f>
        <v>written by Eva Chen ; illustrated by Derek Desierto</v>
      </c>
      <c r="G2484" s="3" t="str">
        <f>"Feiwel &amp; Friends"</f>
        <v>Feiwel &amp; Friends</v>
      </c>
      <c r="H2484" s="2" t="str">
        <f>"2019"</f>
        <v>2019</v>
      </c>
      <c r="I2484" s="3" t="str">
        <f>""</f>
        <v/>
      </c>
    </row>
    <row r="2485" spans="1:9" x14ac:dyDescent="0.3">
      <c r="A2485" s="2">
        <v>2484</v>
      </c>
      <c r="B2485" s="4" t="s">
        <v>36</v>
      </c>
      <c r="C2485" s="3" t="str">
        <f>"TFC000001609"</f>
        <v>TFC000001609</v>
      </c>
      <c r="D2485" s="3" t="str">
        <f>"F800-20-1789-(AR 3.5)"</f>
        <v>F800-20-1789-(AR 3.5)</v>
      </c>
      <c r="E2485" s="3" t="str">
        <f>"Al Capone does my shirts"</f>
        <v>Al Capone does my shirts</v>
      </c>
      <c r="F2485" s="3" t="str">
        <f>"Gennifer Choldenko"</f>
        <v>Gennifer Choldenko</v>
      </c>
      <c r="G2485" s="3" t="str">
        <f>"Puffin Books"</f>
        <v>Puffin Books</v>
      </c>
      <c r="H2485" s="2" t="str">
        <f>"2014"</f>
        <v>2014</v>
      </c>
      <c r="I2485" s="3" t="str">
        <f>""</f>
        <v/>
      </c>
    </row>
    <row r="2486" spans="1:9" x14ac:dyDescent="0.3">
      <c r="A2486" s="2">
        <v>2485</v>
      </c>
      <c r="B2486" s="4" t="s">
        <v>36</v>
      </c>
      <c r="C2486" s="3" t="str">
        <f>"TFC000001611"</f>
        <v>TFC000001611</v>
      </c>
      <c r="D2486" s="3" t="str">
        <f>"F800-20-1791-(AR 3.5)"</f>
        <v>F800-20-1791-(AR 3.5)</v>
      </c>
      <c r="E2486" s="3" t="str">
        <f>"(The)bears on Hemlock Mountain"</f>
        <v>(The)bears on Hemlock Mountain</v>
      </c>
      <c r="F2486" s="3" t="str">
        <f>"by Alice Dalgliesh ; illustrated by Helen Sewell"</f>
        <v>by Alice Dalgliesh ; illustrated by Helen Sewell</v>
      </c>
      <c r="G2486" s="3" t="str">
        <f>"Aladdin Paperbacks"</f>
        <v>Aladdin Paperbacks</v>
      </c>
      <c r="H2486" s="2" t="str">
        <f>"2000"</f>
        <v>2000</v>
      </c>
      <c r="I2486" s="3" t="str">
        <f>""</f>
        <v/>
      </c>
    </row>
    <row r="2487" spans="1:9" x14ac:dyDescent="0.3">
      <c r="A2487" s="2">
        <v>2486</v>
      </c>
      <c r="B2487" s="4" t="s">
        <v>36</v>
      </c>
      <c r="C2487" s="3" t="str">
        <f>"TFC000001612"</f>
        <v>TFC000001612</v>
      </c>
      <c r="D2487" s="3" t="str">
        <f>"F800-20-1792-(AR 3.5)"</f>
        <v>F800-20-1792-(AR 3.5)</v>
      </c>
      <c r="E2487" s="3" t="str">
        <f>"You can't eat your chicken pox"</f>
        <v>You can't eat your chicken pox</v>
      </c>
      <c r="F2487" s="3" t="str">
        <f>"by Paula Danziger ; illustrated by Tony Ross"</f>
        <v>by Paula Danziger ; illustrated by Tony Ross</v>
      </c>
      <c r="G2487" s="3" t="str">
        <f>"Penguin Group"</f>
        <v>Penguin Group</v>
      </c>
      <c r="H2487" s="2" t="str">
        <f>"2010"</f>
        <v>2010</v>
      </c>
      <c r="I2487" s="3" t="str">
        <f>""</f>
        <v/>
      </c>
    </row>
    <row r="2488" spans="1:9" x14ac:dyDescent="0.3">
      <c r="A2488" s="2">
        <v>2487</v>
      </c>
      <c r="B2488" s="4" t="s">
        <v>36</v>
      </c>
      <c r="C2488" s="3" t="str">
        <f>"TFC000001613"</f>
        <v>TFC000001613</v>
      </c>
      <c r="D2488" s="3" t="str">
        <f>"F800-20-1793-(AR 3.5)"</f>
        <v>F800-20-1793-(AR 3.5)</v>
      </c>
      <c r="E2488" s="3" t="str">
        <f>"Rapunzel"</f>
        <v>Rapunzel</v>
      </c>
      <c r="F2488" s="3" t="str">
        <f>"retold by Susanna Davidson ; illustrated by Desideria Guicciardini"</f>
        <v>retold by Susanna Davidson ; illustrated by Desideria Guicciardini</v>
      </c>
      <c r="G2488" s="3" t="str">
        <f>"Usborne"</f>
        <v>Usborne</v>
      </c>
      <c r="H2488" s="2" t="str">
        <f>"2005"</f>
        <v>2005</v>
      </c>
      <c r="I2488" s="3" t="str">
        <f>""</f>
        <v/>
      </c>
    </row>
    <row r="2489" spans="1:9" x14ac:dyDescent="0.3">
      <c r="A2489" s="2">
        <v>2488</v>
      </c>
      <c r="B2489" s="4" t="s">
        <v>36</v>
      </c>
      <c r="C2489" s="3" t="str">
        <f>"TFC000001615"</f>
        <v>TFC000001615</v>
      </c>
      <c r="D2489" s="3" t="str">
        <f>"F800-20-1795-(AR 3.5)"</f>
        <v>F800-20-1795-(AR 3.5)</v>
      </c>
      <c r="E2489" s="3" t="str">
        <f>"Mrs. Cooney is loony!"</f>
        <v>Mrs. Cooney is loony!</v>
      </c>
      <c r="F2489" s="3" t="str">
        <f>"Dan Gutman ; pictures by Jim Paillot"</f>
        <v>Dan Gutman ; pictures by Jim Paillot</v>
      </c>
      <c r="G2489" s="3" t="str">
        <f>"HarperTrophy"</f>
        <v>HarperTrophy</v>
      </c>
      <c r="H2489" s="2" t="str">
        <f>"2005"</f>
        <v>2005</v>
      </c>
      <c r="I2489" s="3" t="str">
        <f>""</f>
        <v/>
      </c>
    </row>
    <row r="2490" spans="1:9" x14ac:dyDescent="0.3">
      <c r="A2490" s="2">
        <v>2489</v>
      </c>
      <c r="B2490" s="4" t="s">
        <v>36</v>
      </c>
      <c r="C2490" s="3" t="str">
        <f>"TFC000001616"</f>
        <v>TFC000001616</v>
      </c>
      <c r="D2490" s="3" t="str">
        <f>"F800-20-1796-(AR 3.5)"</f>
        <v>F800-20-1796-(AR 3.5)</v>
      </c>
      <c r="E2490" s="3" t="str">
        <f>"Dr. Carbles is losing his marbles!"</f>
        <v>Dr. Carbles is losing his marbles!</v>
      </c>
      <c r="F2490" s="3" t="str">
        <f>"Dan Gutman ; pictures by Jim Paillot"</f>
        <v>Dan Gutman ; pictures by Jim Paillot</v>
      </c>
      <c r="G2490" s="3" t="str">
        <f>"HarperTrophy"</f>
        <v>HarperTrophy</v>
      </c>
      <c r="H2490" s="2" t="str">
        <f>"2007"</f>
        <v>2007</v>
      </c>
      <c r="I2490" s="3" t="str">
        <f>""</f>
        <v/>
      </c>
    </row>
    <row r="2491" spans="1:9" x14ac:dyDescent="0.3">
      <c r="A2491" s="2">
        <v>2490</v>
      </c>
      <c r="B2491" s="4" t="s">
        <v>36</v>
      </c>
      <c r="C2491" s="3" t="str">
        <f>"TFC000001617"</f>
        <v>TFC000001617</v>
      </c>
      <c r="D2491" s="3" t="str">
        <f>"F800-20-1797-(AR 3.5)"</f>
        <v>F800-20-1797-(AR 3.5)</v>
      </c>
      <c r="E2491" s="3" t="str">
        <f>"Ms. Krup cracks me up!"</f>
        <v>Ms. Krup cracks me up!</v>
      </c>
      <c r="F2491" s="3" t="str">
        <f>"Dan Gutman ; pictures by Jim Paillot"</f>
        <v>Dan Gutman ; pictures by Jim Paillot</v>
      </c>
      <c r="G2491" s="3" t="str">
        <f>"HarperTrophy"</f>
        <v>HarperTrophy</v>
      </c>
      <c r="H2491" s="2" t="str">
        <f>"2008"</f>
        <v>2008</v>
      </c>
      <c r="I2491" s="3" t="str">
        <f>""</f>
        <v/>
      </c>
    </row>
    <row r="2492" spans="1:9" x14ac:dyDescent="0.3">
      <c r="A2492" s="2">
        <v>2491</v>
      </c>
      <c r="B2492" s="4" t="s">
        <v>36</v>
      </c>
      <c r="C2492" s="3" t="str">
        <f>"TFC000001618"</f>
        <v>TFC000001618</v>
      </c>
      <c r="D2492" s="3" t="str">
        <f>"F800-20-1798-(AR 3.5)"</f>
        <v>F800-20-1798-(AR 3.5)</v>
      </c>
      <c r="E2492" s="3" t="str">
        <f>"(A)mustache baby christmas"</f>
        <v>(A)mustache baby christmas</v>
      </c>
      <c r="F2492" s="3" t="str">
        <f>"Bridget Heos ; illustrations by Joy Ang"</f>
        <v>Bridget Heos ; illustrations by Joy Ang</v>
      </c>
      <c r="G2492" s="3" t="str">
        <f>"Clarion Books"</f>
        <v>Clarion Books</v>
      </c>
      <c r="H2492" s="2" t="str">
        <f>"2019"</f>
        <v>2019</v>
      </c>
      <c r="I2492" s="3" t="str">
        <f>""</f>
        <v/>
      </c>
    </row>
    <row r="2493" spans="1:9" x14ac:dyDescent="0.3">
      <c r="A2493" s="2">
        <v>2492</v>
      </c>
      <c r="B2493" s="4" t="s">
        <v>36</v>
      </c>
      <c r="C2493" s="3" t="str">
        <f>"TFC000001619"</f>
        <v>TFC000001619</v>
      </c>
      <c r="D2493" s="3" t="str">
        <f>"F800-20-1799-(AR 3.5)"</f>
        <v>F800-20-1799-(AR 3.5)</v>
      </c>
      <c r="E2493" s="3" t="str">
        <f>"Amazing Grace"</f>
        <v>Amazing Grace</v>
      </c>
      <c r="F2493" s="3" t="str">
        <f>"by Mary Hoffman ; pictures by Caroline Binch"</f>
        <v>by Mary Hoffman ; pictures by Caroline Binch</v>
      </c>
      <c r="G2493" s="3" t="str">
        <f>"Dial Books for Young Readers"</f>
        <v>Dial Books for Young Readers</v>
      </c>
      <c r="H2493" s="2" t="str">
        <f>"2016"</f>
        <v>2016</v>
      </c>
      <c r="I2493" s="3" t="str">
        <f>""</f>
        <v/>
      </c>
    </row>
    <row r="2494" spans="1:9" x14ac:dyDescent="0.3">
      <c r="A2494" s="2">
        <v>2493</v>
      </c>
      <c r="B2494" s="4" t="s">
        <v>36</v>
      </c>
      <c r="C2494" s="3" t="str">
        <f>"TFC000001620"</f>
        <v>TFC000001620</v>
      </c>
      <c r="D2494" s="3" t="str">
        <f>"F800-20-1800-(AR 3.5)"</f>
        <v>F800-20-1800-(AR 3.5)</v>
      </c>
      <c r="E2494" s="3" t="str">
        <f>"Piper reed, navy brat"</f>
        <v>Piper reed, navy brat</v>
      </c>
      <c r="F2494" s="3" t="str">
        <f>"Kimberly Willis Holt ; illustrated by Christine Davenier"</f>
        <v>Kimberly Willis Holt ; illustrated by Christine Davenier</v>
      </c>
      <c r="G2494" s="3" t="str">
        <f>"Square Fish"</f>
        <v>Square Fish</v>
      </c>
      <c r="H2494" s="2" t="str">
        <f>"2011"</f>
        <v>2011</v>
      </c>
      <c r="I2494" s="3" t="str">
        <f>""</f>
        <v/>
      </c>
    </row>
    <row r="2495" spans="1:9" x14ac:dyDescent="0.3">
      <c r="A2495" s="2">
        <v>2494</v>
      </c>
      <c r="B2495" s="4" t="s">
        <v>36</v>
      </c>
      <c r="C2495" s="3" t="str">
        <f>"TFC000001621"</f>
        <v>TFC000001621</v>
      </c>
      <c r="D2495" s="3" t="str">
        <f>"F800-20-1801-(AR 3.5)"</f>
        <v>F800-20-1801-(AR 3.5)</v>
      </c>
      <c r="E2495" s="3" t="str">
        <f>"(The)strange box"</f>
        <v>(The)strange box</v>
      </c>
      <c r="F2495" s="3" t="str">
        <f>"written by Roderick Hunt ; illustrated by Alex Brychta"</f>
        <v>written by Roderick Hunt ; illustrated by Alex Brychta</v>
      </c>
      <c r="G2495" s="3" t="str">
        <f>"Oxford University Press"</f>
        <v>Oxford University Press</v>
      </c>
      <c r="H2495" s="2" t="str">
        <f>"2014"</f>
        <v>2014</v>
      </c>
      <c r="I2495" s="3" t="str">
        <f>""</f>
        <v/>
      </c>
    </row>
    <row r="2496" spans="1:9" x14ac:dyDescent="0.3">
      <c r="A2496" s="2">
        <v>2495</v>
      </c>
      <c r="B2496" s="4" t="s">
        <v>36</v>
      </c>
      <c r="C2496" s="3" t="str">
        <f>"TFC000001622"</f>
        <v>TFC000001622</v>
      </c>
      <c r="D2496" s="3" t="str">
        <f>"F800-20-1802-(AR 3.5)"</f>
        <v>F800-20-1802-(AR 3.5)</v>
      </c>
      <c r="E2496" s="3" t="str">
        <f>"Andy Shane and the queen of Egypt. 3"</f>
        <v>Andy Shane and the queen of Egypt. 3</v>
      </c>
      <c r="F2496" s="3" t="str">
        <f>"Jennifer Richard Jacobson ; illustrated by Abby Carter"</f>
        <v>Jennifer Richard Jacobson ; illustrated by Abby Carter</v>
      </c>
      <c r="G2496" s="3" t="str">
        <f>"Candlewick Press"</f>
        <v>Candlewick Press</v>
      </c>
      <c r="H2496" s="2" t="str">
        <f>"2009"</f>
        <v>2009</v>
      </c>
      <c r="I2496" s="3" t="str">
        <f>""</f>
        <v/>
      </c>
    </row>
    <row r="2497" spans="1:9" x14ac:dyDescent="0.3">
      <c r="A2497" s="2">
        <v>2496</v>
      </c>
      <c r="B2497" s="4" t="s">
        <v>36</v>
      </c>
      <c r="C2497" s="3" t="str">
        <f>"TFC000001624"</f>
        <v>TFC000001624</v>
      </c>
      <c r="D2497" s="3" t="str">
        <f>"F800-20-1804-(AR 3.5)"</f>
        <v>F800-20-1804-(AR 3.5)</v>
      </c>
      <c r="E2497" s="3" t="str">
        <f>"Stand tall, Molly Lou Melon"</f>
        <v>Stand tall, Molly Lou Melon</v>
      </c>
      <c r="F2497" s="3" t="str">
        <f>"written by Patty Lovell ; illustrated by David Catrow"</f>
        <v>written by Patty Lovell ; illustrated by David Catrow</v>
      </c>
      <c r="G2497" s="3" t="str">
        <f>"G. P. Putnam's Sons"</f>
        <v>G. P. Putnam's Sons</v>
      </c>
      <c r="H2497" s="2" t="str">
        <f>"2001"</f>
        <v>2001</v>
      </c>
      <c r="I2497" s="3" t="str">
        <f>""</f>
        <v/>
      </c>
    </row>
    <row r="2498" spans="1:9" x14ac:dyDescent="0.3">
      <c r="A2498" s="2">
        <v>2497</v>
      </c>
      <c r="B2498" s="4" t="s">
        <v>36</v>
      </c>
      <c r="C2498" s="3" t="str">
        <f>"TFC000001629"</f>
        <v>TFC000001629</v>
      </c>
      <c r="D2498" s="3" t="str">
        <f>"F800-20-1809-(AR 3.5)"</f>
        <v>F800-20-1809-(AR 3.5)</v>
      </c>
      <c r="E2498" s="3" t="str">
        <f>"To the future, Ben Franklin!"</f>
        <v>To the future, Ben Franklin!</v>
      </c>
      <c r="F2498" s="3" t="str">
        <f>"by Mary Pope Osborne ; illustrated by Sal Murdocca"</f>
        <v>by Mary Pope Osborne ; illustrated by Sal Murdocca</v>
      </c>
      <c r="G2498" s="3" t="str">
        <f>"Random House"</f>
        <v>Random House</v>
      </c>
      <c r="H2498" s="2" t="str">
        <f>"2019"</f>
        <v>2019</v>
      </c>
      <c r="I2498" s="3" t="str">
        <f>""</f>
        <v/>
      </c>
    </row>
    <row r="2499" spans="1:9" x14ac:dyDescent="0.3">
      <c r="A2499" s="2">
        <v>2498</v>
      </c>
      <c r="B2499" s="4" t="s">
        <v>36</v>
      </c>
      <c r="C2499" s="3" t="str">
        <f>"TFC000001630"</f>
        <v>TFC000001630</v>
      </c>
      <c r="D2499" s="3" t="str">
        <f>"F800-20-1810-(AR 3.5)"</f>
        <v>F800-20-1810-(AR 3.5)</v>
      </c>
      <c r="E2499" s="3" t="str">
        <f>"Abe lincoln at last!"</f>
        <v>Abe lincoln at last!</v>
      </c>
      <c r="F2499" s="3" t="str">
        <f>"by Mary Pope Osborne ; illustrated by Sal Murdocca"</f>
        <v>by Mary Pope Osborne ; illustrated by Sal Murdocca</v>
      </c>
      <c r="G2499" s="3" t="str">
        <f>"Random House"</f>
        <v>Random House</v>
      </c>
      <c r="H2499" s="2" t="str">
        <f>"2011"</f>
        <v>2011</v>
      </c>
      <c r="I2499" s="3" t="str">
        <f>""</f>
        <v/>
      </c>
    </row>
    <row r="2500" spans="1:9" x14ac:dyDescent="0.3">
      <c r="A2500" s="2">
        <v>2499</v>
      </c>
      <c r="B2500" s="4" t="s">
        <v>36</v>
      </c>
      <c r="C2500" s="3" t="str">
        <f>"TFC000001632"</f>
        <v>TFC000001632</v>
      </c>
      <c r="D2500" s="3" t="str">
        <f>"F800-20-1812-(AR 3.5)"</f>
        <v>F800-20-1812-(AR 3.5)</v>
      </c>
      <c r="E2500" s="3" t="str">
        <f>"(The)little engine that could"</f>
        <v>(The)little engine that could</v>
      </c>
      <c r="F2500" s="3" t="str">
        <f>"retold by Watty Piper ; with new art by Loren Long"</f>
        <v>retold by Watty Piper ; with new art by Loren Long</v>
      </c>
      <c r="G2500" s="3" t="str">
        <f>"Philomel Books"</f>
        <v>Philomel Books</v>
      </c>
      <c r="H2500" s="2" t="str">
        <f>"2005"</f>
        <v>2005</v>
      </c>
      <c r="I2500" s="3" t="str">
        <f>""</f>
        <v/>
      </c>
    </row>
    <row r="2501" spans="1:9" x14ac:dyDescent="0.3">
      <c r="A2501" s="2">
        <v>2500</v>
      </c>
      <c r="B2501" s="4" t="s">
        <v>36</v>
      </c>
      <c r="C2501" s="3" t="str">
        <f>"TFC000001633"</f>
        <v>TFC000001633</v>
      </c>
      <c r="D2501" s="3" t="str">
        <f>"F800-20-1813-(AR 3.5)"</f>
        <v>F800-20-1813-(AR 3.5)</v>
      </c>
      <c r="E2501" s="3" t="str">
        <f>"Is a camel a mammal? : all about mammals"</f>
        <v>Is a camel a mammal? : all about mammals</v>
      </c>
      <c r="F2501" s="3" t="str">
        <f>"by Tish Rabe ; illustrated by Jim Durk"</f>
        <v>by Tish Rabe ; illustrated by Jim Durk</v>
      </c>
      <c r="G2501" s="3" t="str">
        <f>"Random House"</f>
        <v>Random House</v>
      </c>
      <c r="H2501" s="2" t="str">
        <f>"2010"</f>
        <v>2010</v>
      </c>
      <c r="I2501" s="3" t="str">
        <f>""</f>
        <v/>
      </c>
    </row>
    <row r="2502" spans="1:9" x14ac:dyDescent="0.3">
      <c r="A2502" s="2">
        <v>2501</v>
      </c>
      <c r="B2502" s="4" t="s">
        <v>36</v>
      </c>
      <c r="C2502" s="3" t="str">
        <f>"TFC000001634"</f>
        <v>TFC000001634</v>
      </c>
      <c r="D2502" s="3" t="str">
        <f>"F800-20-1814-(AR 3.5)"</f>
        <v>F800-20-1814-(AR 3.5)</v>
      </c>
      <c r="E2502" s="3" t="str">
        <f>"Oh, the pets you can get!"</f>
        <v>Oh, the pets you can get!</v>
      </c>
      <c r="F2502" s="3" t="str">
        <f>"Tish Rabe ; illustrated by Aristides Ruiz"</f>
        <v>Tish Rabe ; illustrated by Aristides Ruiz</v>
      </c>
      <c r="G2502" s="3" t="str">
        <f>"Random House"</f>
        <v>Random House</v>
      </c>
      <c r="H2502" s="2" t="str">
        <f>"2005"</f>
        <v>2005</v>
      </c>
      <c r="I2502" s="3" t="str">
        <f>""</f>
        <v/>
      </c>
    </row>
    <row r="2503" spans="1:9" x14ac:dyDescent="0.3">
      <c r="A2503" s="2">
        <v>2502</v>
      </c>
      <c r="B2503" s="4" t="s">
        <v>36</v>
      </c>
      <c r="C2503" s="3" t="str">
        <f>"TFC000001635"</f>
        <v>TFC000001635</v>
      </c>
      <c r="D2503" s="3" t="str">
        <f>"F800-20-1815-(AR 3.5)"</f>
        <v>F800-20-1815-(AR 3.5)</v>
      </c>
      <c r="E2503" s="3" t="str">
        <f>"Tentacles! : tales of the giant squid"</f>
        <v>Tentacles! : tales of the giant squid</v>
      </c>
      <c r="F2503" s="3" t="str">
        <f>"by Shirley-Raye Redmond ; illustrated by Bryn Barnard"</f>
        <v>by Shirley-Raye Redmond ; illustrated by Bryn Barnard</v>
      </c>
      <c r="G2503" s="3" t="str">
        <f>"Random House"</f>
        <v>Random House</v>
      </c>
      <c r="H2503" s="2" t="str">
        <f>"2003"</f>
        <v>2003</v>
      </c>
      <c r="I2503" s="3" t="str">
        <f>""</f>
        <v/>
      </c>
    </row>
    <row r="2504" spans="1:9" x14ac:dyDescent="0.3">
      <c r="A2504" s="2">
        <v>2503</v>
      </c>
      <c r="B2504" s="4" t="s">
        <v>36</v>
      </c>
      <c r="C2504" s="3" t="str">
        <f>"TFC000001636"</f>
        <v>TFC000001636</v>
      </c>
      <c r="D2504" s="3" t="str">
        <f>"F800-20-1816-(AR 3.5)"</f>
        <v>F800-20-1816-(AR 3.5)</v>
      </c>
      <c r="E2504" s="3" t="str">
        <f>"(The)empty envelope"</f>
        <v>(The)empty envelope</v>
      </c>
      <c r="F2504" s="3" t="str">
        <f>"by Ron Roy ; illustrated by John Steven Gurney"</f>
        <v>by Ron Roy ; illustrated by John Steven Gurney</v>
      </c>
      <c r="G2504" s="3" t="str">
        <f>"Random house"</f>
        <v>Random house</v>
      </c>
      <c r="H2504" s="2" t="str">
        <f>"2015"</f>
        <v>2015</v>
      </c>
      <c r="I2504" s="3" t="str">
        <f>""</f>
        <v/>
      </c>
    </row>
    <row r="2505" spans="1:9" x14ac:dyDescent="0.3">
      <c r="A2505" s="2">
        <v>2504</v>
      </c>
      <c r="B2505" s="4" t="s">
        <v>36</v>
      </c>
      <c r="C2505" s="3" t="str">
        <f>"TFC000001637"</f>
        <v>TFC000001637</v>
      </c>
      <c r="D2505" s="3" t="str">
        <f>"F800-20-1817-(AR 3.5)"</f>
        <v>F800-20-1817-(AR 3.5)</v>
      </c>
      <c r="E2505" s="3" t="str">
        <f>"(The)jaguar's jewel"</f>
        <v>(The)jaguar's jewel</v>
      </c>
      <c r="F2505" s="3" t="str">
        <f>"by Ron Roy ; illustrated by John Steven Gurney"</f>
        <v>by Ron Roy ; illustrated by John Steven Gurney</v>
      </c>
      <c r="G2505" s="3" t="str">
        <f>"Random House"</f>
        <v>Random House</v>
      </c>
      <c r="H2505" s="2" t="str">
        <f>"2015"</f>
        <v>2015</v>
      </c>
      <c r="I2505" s="3" t="str">
        <f>""</f>
        <v/>
      </c>
    </row>
    <row r="2506" spans="1:9" x14ac:dyDescent="0.3">
      <c r="A2506" s="2">
        <v>2505</v>
      </c>
      <c r="B2506" s="4" t="s">
        <v>36</v>
      </c>
      <c r="C2506" s="3" t="str">
        <f>"TFC000001638"</f>
        <v>TFC000001638</v>
      </c>
      <c r="D2506" s="3" t="str">
        <f>"F800-20-1818-(AR 3.5)"</f>
        <v>F800-20-1818-(AR 3.5)</v>
      </c>
      <c r="E2506" s="3" t="str">
        <f>"(The)panda puzzle"</f>
        <v>(The)panda puzzle</v>
      </c>
      <c r="F2506" s="3" t="str">
        <f>"by Ron Roy ; illustrated by John Steven Gurney"</f>
        <v>by Ron Roy ; illustrated by John Steven Gurney</v>
      </c>
      <c r="G2506" s="3" t="str">
        <f>"Random House"</f>
        <v>Random House</v>
      </c>
      <c r="H2506" s="2" t="str">
        <f>"2015"</f>
        <v>2015</v>
      </c>
      <c r="I2506" s="3" t="str">
        <f>""</f>
        <v/>
      </c>
    </row>
    <row r="2507" spans="1:9" x14ac:dyDescent="0.3">
      <c r="A2507" s="2">
        <v>2506</v>
      </c>
      <c r="B2507" s="4" t="s">
        <v>36</v>
      </c>
      <c r="C2507" s="3" t="str">
        <f>"TFC000001639"</f>
        <v>TFC000001639</v>
      </c>
      <c r="D2507" s="3" t="str">
        <f>"F800-20-1819-(AR 3.5)"</f>
        <v>F800-20-1819-(AR 3.5)</v>
      </c>
      <c r="E2507" s="3" t="str">
        <f>"(The)unwilling umpire"</f>
        <v>(The)unwilling umpire</v>
      </c>
      <c r="F2507" s="3" t="str">
        <f>"by Ron Roy ; illustrated by John Steven Gurney"</f>
        <v>by Ron Roy ; illustrated by John Steven Gurney</v>
      </c>
      <c r="G2507" s="3" t="str">
        <f>"Random House"</f>
        <v>Random House</v>
      </c>
      <c r="H2507" s="2" t="str">
        <f>"2015"</f>
        <v>2015</v>
      </c>
      <c r="I2507" s="3" t="str">
        <f>""</f>
        <v/>
      </c>
    </row>
    <row r="2508" spans="1:9" x14ac:dyDescent="0.3">
      <c r="A2508" s="2">
        <v>2507</v>
      </c>
      <c r="B2508" s="4" t="s">
        <v>36</v>
      </c>
      <c r="C2508" s="3" t="str">
        <f>"TFC000001640"</f>
        <v>TFC000001640</v>
      </c>
      <c r="D2508" s="3" t="str">
        <f>"F800-20-1820-(AR 3.5)"</f>
        <v>F800-20-1820-(AR 3.5)</v>
      </c>
      <c r="E2508" s="3" t="str">
        <f>"(The)vampire's vacation"</f>
        <v>(The)vampire's vacation</v>
      </c>
      <c r="F2508" s="3" t="str">
        <f>"by Ron Roy ; illustrated by John Steven Gurney"</f>
        <v>by Ron Roy ; illustrated by John Steven Gurney</v>
      </c>
      <c r="G2508" s="3" t="str">
        <f>"Random House"</f>
        <v>Random House</v>
      </c>
      <c r="H2508" s="2" t="str">
        <f>"2015"</f>
        <v>2015</v>
      </c>
      <c r="I2508" s="3" t="str">
        <f>""</f>
        <v/>
      </c>
    </row>
    <row r="2509" spans="1:9" x14ac:dyDescent="0.3">
      <c r="A2509" s="2">
        <v>2508</v>
      </c>
      <c r="B2509" s="4" t="s">
        <v>36</v>
      </c>
      <c r="C2509" s="3" t="str">
        <f>"TFC000001642"</f>
        <v>TFC000001642</v>
      </c>
      <c r="D2509" s="3" t="str">
        <f>"F800-20-1822-(AR 3.5)"</f>
        <v>F800-20-1822-(AR 3.5)</v>
      </c>
      <c r="E2509" s="3" t="str">
        <f>"Deep trouble"</f>
        <v>Deep trouble</v>
      </c>
      <c r="F2509" s="3" t="str">
        <f>"R.L. Stine"</f>
        <v>R.L. Stine</v>
      </c>
      <c r="G2509" s="3" t="str">
        <f>"Scholastic"</f>
        <v>Scholastic</v>
      </c>
      <c r="H2509" s="2" t="str">
        <f>"2008"</f>
        <v>2008</v>
      </c>
      <c r="I2509" s="3" t="str">
        <f>""</f>
        <v/>
      </c>
    </row>
    <row r="2510" spans="1:9" x14ac:dyDescent="0.3">
      <c r="A2510" s="2">
        <v>2509</v>
      </c>
      <c r="B2510" s="4" t="s">
        <v>36</v>
      </c>
      <c r="C2510" s="3" t="str">
        <f>"TFC000001644"</f>
        <v>TFC000001644</v>
      </c>
      <c r="D2510" s="3" t="str">
        <f>"F800-20-1824-(AR 3.5)"</f>
        <v>F800-20-1824-(AR 3.5)</v>
      </c>
      <c r="E2510" s="3" t="str">
        <f>"Aesop's fables"</f>
        <v>Aesop's fables</v>
      </c>
      <c r="F2510" s="3" t="str">
        <f>"retold by Carol Watson ; adapted by Katie Daynes ; illustrated by Nick Price"</f>
        <v>retold by Carol Watson ; adapted by Katie Daynes ; illustrated by Nick Price</v>
      </c>
      <c r="G2510" s="3" t="str">
        <f>"Usborne"</f>
        <v>Usborne</v>
      </c>
      <c r="H2510" s="2" t="str">
        <f>"2007"</f>
        <v>2007</v>
      </c>
      <c r="I2510" s="3" t="str">
        <f>""</f>
        <v/>
      </c>
    </row>
    <row r="2511" spans="1:9" x14ac:dyDescent="0.3">
      <c r="A2511" s="2">
        <v>2510</v>
      </c>
      <c r="B2511" s="4" t="s">
        <v>36</v>
      </c>
      <c r="C2511" s="3" t="str">
        <f>"TFC000001645"</f>
        <v>TFC000001645</v>
      </c>
      <c r="D2511" s="3" t="str">
        <f>"F800-20-1825-(AR 3.5)"</f>
        <v>F800-20-1825-(AR 3.5)</v>
      </c>
      <c r="E2511" s="3" t="str">
        <f>"Freedom on the menu : the Greensboro sit-ins"</f>
        <v>Freedom on the menu : the Greensboro sit-ins</v>
      </c>
      <c r="F2511" s="3" t="str">
        <f>"by Carole Boston Weatherford ; paintings by Jerome Lagarrigue"</f>
        <v>by Carole Boston Weatherford ; paintings by Jerome Lagarrigue</v>
      </c>
      <c r="G2511" s="3" t="str">
        <f>"Puffin"</f>
        <v>Puffin</v>
      </c>
      <c r="H2511" s="2" t="str">
        <f>"2007"</f>
        <v>2007</v>
      </c>
      <c r="I2511" s="3" t="str">
        <f>""</f>
        <v/>
      </c>
    </row>
    <row r="2512" spans="1:9" x14ac:dyDescent="0.3">
      <c r="A2512" s="2">
        <v>2511</v>
      </c>
      <c r="B2512" s="4" t="s">
        <v>36</v>
      </c>
      <c r="C2512" s="3" t="str">
        <f>"TFC000001646"</f>
        <v>TFC000001646</v>
      </c>
      <c r="D2512" s="3" t="str">
        <f>"F800-20-1826-(AR 3.5)"</f>
        <v>F800-20-1826-(AR 3.5)</v>
      </c>
      <c r="E2512" s="3" t="str">
        <f>"Without you"</f>
        <v>Without you</v>
      </c>
      <c r="F2512" s="3" t="str">
        <f>"by Sarah Weeks ; illustrated by Suzanne Duranceau"</f>
        <v>by Sarah Weeks ; illustrated by Suzanne Duranceau</v>
      </c>
      <c r="G2512" s="3" t="str">
        <f>"Laura Geringer Books:JYBooks"</f>
        <v>Laura Geringer Books:JYBooks</v>
      </c>
      <c r="H2512" s="2" t="str">
        <f>"2003"</f>
        <v>2003</v>
      </c>
      <c r="I2512" s="3" t="str">
        <f>""</f>
        <v/>
      </c>
    </row>
    <row r="2513" spans="1:9" x14ac:dyDescent="0.3">
      <c r="A2513" s="2">
        <v>2512</v>
      </c>
      <c r="B2513" s="4" t="s">
        <v>36</v>
      </c>
      <c r="C2513" s="3" t="str">
        <f>"TFC000001647"</f>
        <v>TFC000001647</v>
      </c>
      <c r="D2513" s="3" t="str">
        <f>"F800-20-1827-(AR 3.5)"</f>
        <v>F800-20-1827-(AR 3.5)</v>
      </c>
      <c r="E2513" s="3" t="str">
        <f>"Mia Mayhem vs. the super bully"</f>
        <v>Mia Mayhem vs. the super bully</v>
      </c>
      <c r="F2513" s="3" t="str">
        <f>"by Kara West ; illustrated by Leeza Hernandez"</f>
        <v>by Kara West ; illustrated by Leeza Hernandez</v>
      </c>
      <c r="G2513" s="3" t="str">
        <f>"Little Simon"</f>
        <v>Little Simon</v>
      </c>
      <c r="H2513" s="2" t="str">
        <f>"2019"</f>
        <v>2019</v>
      </c>
      <c r="I2513" s="3" t="str">
        <f>""</f>
        <v/>
      </c>
    </row>
    <row r="2514" spans="1:9" x14ac:dyDescent="0.3">
      <c r="A2514" s="2">
        <v>2513</v>
      </c>
      <c r="B2514" s="4" t="s">
        <v>36</v>
      </c>
      <c r="C2514" s="3" t="str">
        <f>"TFC000001650"</f>
        <v>TFC000001650</v>
      </c>
      <c r="D2514" s="3" t="str">
        <f>"F800-20-1830-(AR 3.5)"</f>
        <v>F800-20-1830-(AR 3.5)</v>
      </c>
      <c r="E2514" s="3" t="str">
        <f>"Frankie Pickle and the closet of doom"</f>
        <v>Frankie Pickle and the closet of doom</v>
      </c>
      <c r="F2514" s="3" t="str">
        <f>"written and illustrated by Eric Wight"</f>
        <v>written and illustrated by Eric Wight</v>
      </c>
      <c r="G2514" s="3" t="str">
        <f>"Scholastic"</f>
        <v>Scholastic</v>
      </c>
      <c r="H2514" s="2" t="str">
        <f>"2009"</f>
        <v>2009</v>
      </c>
      <c r="I2514" s="3" t="str">
        <f>""</f>
        <v/>
      </c>
    </row>
    <row r="2515" spans="1:9" x14ac:dyDescent="0.3">
      <c r="A2515" s="2">
        <v>2514</v>
      </c>
      <c r="B2515" s="4" t="s">
        <v>36</v>
      </c>
      <c r="C2515" s="3" t="str">
        <f>"TFC000001651"</f>
        <v>TFC000001651</v>
      </c>
      <c r="D2515" s="3" t="str">
        <f>"F800-20-1831-(AR 3.5)"</f>
        <v>F800-20-1831-(AR 3.5)</v>
      </c>
      <c r="E2515" s="3" t="str">
        <f>"My brother Bernadette"</f>
        <v>My brother Bernadette</v>
      </c>
      <c r="F2515" s="3" t="str">
        <f>"Jacquelin Wilson ; illustrated by David Roberts"</f>
        <v>Jacquelin Wilson ; illustrated by David Roberts</v>
      </c>
      <c r="G2515" s="3" t="str">
        <f>"Egmont"</f>
        <v>Egmont</v>
      </c>
      <c r="H2515" s="2" t="str">
        <f>"2011"</f>
        <v>2011</v>
      </c>
      <c r="I2515" s="3" t="str">
        <f>""</f>
        <v/>
      </c>
    </row>
    <row r="2516" spans="1:9" x14ac:dyDescent="0.3">
      <c r="A2516" s="2">
        <v>2515</v>
      </c>
      <c r="B2516" s="4" t="s">
        <v>36</v>
      </c>
      <c r="C2516" s="3" t="str">
        <f>"TFC000001652"</f>
        <v>TFC000001652</v>
      </c>
      <c r="D2516" s="3" t="str">
        <f>"F800-20-1832-(AR 3.5)"</f>
        <v>F800-20-1832-(AR 3.5)</v>
      </c>
      <c r="E2516" s="3" t="str">
        <f>"Lon po po : a red-riding hood story from China"</f>
        <v>Lon po po : a red-riding hood story from China</v>
      </c>
      <c r="F2516" s="3" t="str">
        <f>"translated and illustrated by Ed Young"</f>
        <v>translated and illustrated by Ed Young</v>
      </c>
      <c r="G2516" s="3" t="str">
        <f>"Philomel Books"</f>
        <v>Philomel Books</v>
      </c>
      <c r="H2516" s="2" t="str">
        <f>"1989"</f>
        <v>1989</v>
      </c>
      <c r="I2516" s="3" t="str">
        <f>""</f>
        <v/>
      </c>
    </row>
    <row r="2517" spans="1:9" x14ac:dyDescent="0.3">
      <c r="A2517" s="2">
        <v>2516</v>
      </c>
      <c r="B2517" s="4" t="s">
        <v>36</v>
      </c>
      <c r="C2517" s="3" t="str">
        <f>"TFC000001653"</f>
        <v>TFC000001653</v>
      </c>
      <c r="D2517" s="3" t="str">
        <f>"F800-20-1833-(AR 3.5)"</f>
        <v>F800-20-1833-(AR 3.5)</v>
      </c>
      <c r="E2517" s="3" t="str">
        <f>"(A)new coat for Anna"</f>
        <v>(A)new coat for Anna</v>
      </c>
      <c r="F2517" s="3" t="str">
        <f>"by Harriet Ziefert ; pictures by Anita Lobel"</f>
        <v>by Harriet Ziefert ; pictures by Anita Lobel</v>
      </c>
      <c r="G2517" s="3" t="str">
        <f>"Dragonfly Books"</f>
        <v>Dragonfly Books</v>
      </c>
      <c r="H2517" s="2" t="str">
        <f>"1986"</f>
        <v>1986</v>
      </c>
      <c r="I2517" s="3" t="str">
        <f>""</f>
        <v/>
      </c>
    </row>
    <row r="2518" spans="1:9" x14ac:dyDescent="0.3">
      <c r="A2518" s="2">
        <v>2517</v>
      </c>
      <c r="B2518" s="4" t="s">
        <v>36</v>
      </c>
      <c r="C2518" s="3" t="str">
        <f>"TFC000001654"</f>
        <v>TFC000001654</v>
      </c>
      <c r="D2518" s="3" t="str">
        <f>"F800-20-1834-(AR 3.5)"</f>
        <v>F800-20-1834-(AR 3.5)</v>
      </c>
      <c r="E2518" s="3" t="str">
        <f>"Where dani goes, happy follows"</f>
        <v>Where dani goes, happy follows</v>
      </c>
      <c r="F2518" s="3" t="str">
        <f>"Rose Lagercrantz ; illustrated by Eva Eriksson"</f>
        <v>Rose Lagercrantz ; illustrated by Eva Eriksson</v>
      </c>
      <c r="G2518" s="3" t="str">
        <f>"Gecko Press"</f>
        <v>Gecko Press</v>
      </c>
      <c r="H2518" s="2" t="str">
        <f>"2019"</f>
        <v>2019</v>
      </c>
      <c r="I2518" s="3" t="str">
        <f>""</f>
        <v/>
      </c>
    </row>
    <row r="2519" spans="1:9" x14ac:dyDescent="0.3">
      <c r="A2519" s="2">
        <v>2518</v>
      </c>
      <c r="B2519" s="4" t="s">
        <v>36</v>
      </c>
      <c r="C2519" s="3" t="str">
        <f>"TFC000001655"</f>
        <v>TFC000001655</v>
      </c>
      <c r="D2519" s="3" t="str">
        <f>"F800-20-1835-(AR 3.5)"</f>
        <v>F800-20-1835-(AR 3.5)</v>
      </c>
      <c r="E2519" s="3" t="str">
        <f>"(A)bear named bjorn"</f>
        <v>(A)bear named bjorn</v>
      </c>
      <c r="F2519" s="3" t="str">
        <f>"Delphine Perret ; translated by Antony Shugaar"</f>
        <v>Delphine Perret ; translated by Antony Shugaar</v>
      </c>
      <c r="G2519" s="3" t="str">
        <f>"Gecko Press"</f>
        <v>Gecko Press</v>
      </c>
      <c r="H2519" s="2" t="str">
        <f>"2020"</f>
        <v>2020</v>
      </c>
      <c r="I2519" s="3" t="str">
        <f>""</f>
        <v/>
      </c>
    </row>
    <row r="2520" spans="1:9" x14ac:dyDescent="0.3">
      <c r="A2520" s="2">
        <v>2519</v>
      </c>
      <c r="B2520" s="4" t="s">
        <v>36</v>
      </c>
      <c r="C2520" s="3" t="str">
        <f>"TFC000001656"</f>
        <v>TFC000001656</v>
      </c>
      <c r="D2520" s="3" t="str">
        <f>"F800-20-1836-(AR 3.5)"</f>
        <v>F800-20-1836-(AR 3.5)</v>
      </c>
      <c r="E2520" s="3" t="str">
        <f>"I'm too fond of my fur!"</f>
        <v>I'm too fond of my fur!</v>
      </c>
      <c r="F2520" s="3" t="str">
        <f>"by Geronimo Stilton ; illustrated by Larry Keys"</f>
        <v>by Geronimo Stilton ; illustrated by Larry Keys</v>
      </c>
      <c r="G2520" s="3" t="str">
        <f>"Scholastic"</f>
        <v>Scholastic</v>
      </c>
      <c r="H2520" s="2" t="str">
        <f>"2004"</f>
        <v>2004</v>
      </c>
      <c r="I2520" s="3" t="str">
        <f>""</f>
        <v/>
      </c>
    </row>
    <row r="2521" spans="1:9" x14ac:dyDescent="0.3">
      <c r="A2521" s="2">
        <v>2520</v>
      </c>
      <c r="B2521" s="4" t="s">
        <v>36</v>
      </c>
      <c r="C2521" s="3" t="str">
        <f>"TFC000001657"</f>
        <v>TFC000001657</v>
      </c>
      <c r="D2521" s="3" t="str">
        <f>"F800-20-1837-(AR 3.5)"</f>
        <v>F800-20-1837-(AR 3.5)</v>
      </c>
      <c r="E2521" s="3" t="str">
        <f>"(A)fabumouse vacation for Geronimo"</f>
        <v>(A)fabumouse vacation for Geronimo</v>
      </c>
      <c r="F2521" s="3" t="str">
        <f>"by Geronimo Stilton ; illustrated by Larry Keys"</f>
        <v>by Geronimo Stilton ; illustrated by Larry Keys</v>
      </c>
      <c r="G2521" s="3" t="str">
        <f>"Scholastic"</f>
        <v>Scholastic</v>
      </c>
      <c r="H2521" s="2" t="str">
        <f>"2004"</f>
        <v>2004</v>
      </c>
      <c r="I2521" s="3" t="str">
        <f>""</f>
        <v/>
      </c>
    </row>
    <row r="2522" spans="1:9" x14ac:dyDescent="0.3">
      <c r="A2522" s="2">
        <v>2521</v>
      </c>
      <c r="B2522" s="4" t="s">
        <v>36</v>
      </c>
      <c r="C2522" s="3" t="str">
        <f>"TFC000001658"</f>
        <v>TFC000001658</v>
      </c>
      <c r="D2522" s="3" t="str">
        <f>"F800-20-1838-(AR 3.5)"</f>
        <v>F800-20-1838-(AR 3.5)</v>
      </c>
      <c r="E2522" s="3" t="str">
        <f>"(The)phantom of the subway"</f>
        <v>(The)phantom of the subway</v>
      </c>
      <c r="F2522" s="3" t="str">
        <f>"text by Geronimo Stilton ; Illustrations by Blasco Tabasco, Guy Codana"</f>
        <v>text by Geronimo Stilton ; Illustrations by Blasco Tabasco, Guy Codana</v>
      </c>
      <c r="G2522" s="3" t="str">
        <f>"Scholastic"</f>
        <v>Scholastic</v>
      </c>
      <c r="H2522" s="2" t="str">
        <f>"2004"</f>
        <v>2004</v>
      </c>
      <c r="I2522" s="3" t="str">
        <f>""</f>
        <v/>
      </c>
    </row>
    <row r="2523" spans="1:9" x14ac:dyDescent="0.3">
      <c r="A2523" s="2">
        <v>2522</v>
      </c>
      <c r="B2523" s="4" t="s">
        <v>36</v>
      </c>
      <c r="C2523" s="3" t="str">
        <f>"TFC000001659"</f>
        <v>TFC000001659</v>
      </c>
      <c r="D2523" s="3" t="str">
        <f>"F800-20-1839-(AR 3.5)"</f>
        <v>F800-20-1839-(AR 3.5)</v>
      </c>
      <c r="E2523" s="3" t="str">
        <f>"(The)temple of the ruby of fire"</f>
        <v>(The)temple of the ruby of fire</v>
      </c>
      <c r="F2523" s="3" t="str">
        <f>"by Geronimo Stilton ; illustrations by Johnny Stracchino, Mary Fontina"</f>
        <v>by Geronimo Stilton ; illustrations by Johnny Stracchino, Mary Fontina</v>
      </c>
      <c r="G2523" s="3" t="str">
        <f>"Scholastic"</f>
        <v>Scholastic</v>
      </c>
      <c r="H2523" s="2" t="str">
        <f>"2004"</f>
        <v>2004</v>
      </c>
      <c r="I2523" s="3" t="str">
        <f>""</f>
        <v/>
      </c>
    </row>
    <row r="2524" spans="1:9" x14ac:dyDescent="0.3">
      <c r="A2524" s="2">
        <v>2523</v>
      </c>
      <c r="B2524" s="4" t="s">
        <v>36</v>
      </c>
      <c r="C2524" s="3" t="str">
        <f>"TFC000001660"</f>
        <v>TFC000001660</v>
      </c>
      <c r="D2524" s="3" t="str">
        <f>"F800-20-1840-(AR 3.5)"</f>
        <v>F800-20-1840-(AR 3.5)</v>
      </c>
      <c r="E2524" s="3" t="str">
        <f>"(The)mona mousa code"</f>
        <v>(The)mona mousa code</v>
      </c>
      <c r="F2524" s="3" t="str">
        <f>"by Geronimo Stilton ; illustrations by Matt Wolf"</f>
        <v>by Geronimo Stilton ; illustrations by Matt Wolf</v>
      </c>
      <c r="G2524" s="3" t="str">
        <f>"Scholastic"</f>
        <v>Scholastic</v>
      </c>
      <c r="H2524" s="2" t="str">
        <f>"2005"</f>
        <v>2005</v>
      </c>
      <c r="I2524" s="3" t="str">
        <f>""</f>
        <v/>
      </c>
    </row>
    <row r="2525" spans="1:9" x14ac:dyDescent="0.3">
      <c r="A2525" s="2">
        <v>2524</v>
      </c>
      <c r="B2525" s="4" t="s">
        <v>36</v>
      </c>
      <c r="C2525" s="3" t="str">
        <f>"TFC000001661"</f>
        <v>TFC000001661</v>
      </c>
      <c r="D2525" s="3" t="str">
        <f>"F800-20-1841-(AR 3.5)"</f>
        <v>F800-20-1841-(AR 3.5)</v>
      </c>
      <c r="E2525" s="3" t="str">
        <f>"Shipwreck on the pirate islands"</f>
        <v>Shipwreck on the pirate islands</v>
      </c>
      <c r="F2525" s="3" t="str">
        <f>"by Geronimo Stilton ; illustrations by Johnny Stracchino, Mary Fontina"</f>
        <v>by Geronimo Stilton ; illustrations by Johnny Stracchino, Mary Fontina</v>
      </c>
      <c r="G2525" s="3" t="str">
        <f>"Scholastic"</f>
        <v>Scholastic</v>
      </c>
      <c r="H2525" s="2" t="str">
        <f>"2005"</f>
        <v>2005</v>
      </c>
      <c r="I2525" s="3" t="str">
        <f>""</f>
        <v/>
      </c>
    </row>
    <row r="2526" spans="1:9" x14ac:dyDescent="0.3">
      <c r="A2526" s="2">
        <v>2525</v>
      </c>
      <c r="B2526" s="4" t="s">
        <v>36</v>
      </c>
      <c r="C2526" s="3" t="str">
        <f>"TFC000001662"</f>
        <v>TFC000001662</v>
      </c>
      <c r="D2526" s="3" t="str">
        <f>"F800-20-1842-(AR 3.5)"</f>
        <v>F800-20-1842-(AR 3.5)</v>
      </c>
      <c r="E2526" s="3" t="str">
        <f>"Valentine's day disaster"</f>
        <v>Valentine's day disaster</v>
      </c>
      <c r="F2526" s="3" t="str">
        <f>"by Geronimo Stilton ; illustrated by Larry Keys, Blasco Tabasco, Chiara Sacchi"</f>
        <v>by Geronimo Stilton ; illustrated by Larry Keys, Blasco Tabasco, Chiara Sacchi</v>
      </c>
      <c r="G2526" s="3" t="str">
        <f>"Scholastic"</f>
        <v>Scholastic</v>
      </c>
      <c r="H2526" s="2" t="str">
        <f>"2006"</f>
        <v>2006</v>
      </c>
      <c r="I2526" s="3" t="str">
        <f>""</f>
        <v/>
      </c>
    </row>
    <row r="2527" spans="1:9" x14ac:dyDescent="0.3">
      <c r="A2527" s="2">
        <v>2526</v>
      </c>
      <c r="B2527" s="4" t="s">
        <v>36</v>
      </c>
      <c r="C2527" s="3" t="str">
        <f>"TFC000001663"</f>
        <v>TFC000001663</v>
      </c>
      <c r="D2527" s="3" t="str">
        <f>"F800-20-1843-(AR 3.5)"</f>
        <v>F800-20-1843-(AR 3.5)</v>
      </c>
      <c r="E2527" s="3" t="str">
        <f>"Field trip to Niagara Falls"</f>
        <v>Field trip to Niagara Falls</v>
      </c>
      <c r="F2527" s="3" t="str">
        <f>"by Geronimo Stilton ; illustrations by Larry Keys, Ratterto Rattonchi, Chiara Sacchi"</f>
        <v>by Geronimo Stilton ; illustrations by Larry Keys, Ratterto Rattonchi, Chiara Sacchi</v>
      </c>
      <c r="G2527" s="3" t="str">
        <f>"Scholastic"</f>
        <v>Scholastic</v>
      </c>
      <c r="H2527" s="2" t="str">
        <f>"2006"</f>
        <v>2006</v>
      </c>
      <c r="I2527" s="3" t="str">
        <f>""</f>
        <v/>
      </c>
    </row>
    <row r="2528" spans="1:9" x14ac:dyDescent="0.3">
      <c r="A2528" s="2">
        <v>2527</v>
      </c>
      <c r="B2528" s="4" t="s">
        <v>36</v>
      </c>
      <c r="C2528" s="3" t="str">
        <f>"TFC000001664"</f>
        <v>TFC000001664</v>
      </c>
      <c r="D2528" s="3" t="str">
        <f>"F800-20-1844-(AR 3.5)"</f>
        <v>F800-20-1844-(AR 3.5)</v>
      </c>
      <c r="E2528" s="3" t="str">
        <f>"(The)Christmas toy factory"</f>
        <v>(The)Christmas toy factory</v>
      </c>
      <c r="F2528" s="3" t="str">
        <f>"by Geronimo Stilton ; illustrated by Danillo Barozzi, Francesco Castelli"</f>
        <v>by Geronimo Stilton ; illustrated by Danillo Barozzi, Francesco Castelli</v>
      </c>
      <c r="G2528" s="3" t="str">
        <f>"Scholastic"</f>
        <v>Scholastic</v>
      </c>
      <c r="H2528" s="2" t="str">
        <f>"2006"</f>
        <v>2006</v>
      </c>
      <c r="I2528" s="3" t="str">
        <f>""</f>
        <v/>
      </c>
    </row>
    <row r="2529" spans="1:9" x14ac:dyDescent="0.3">
      <c r="A2529" s="2">
        <v>2528</v>
      </c>
      <c r="B2529" s="4" t="s">
        <v>36</v>
      </c>
      <c r="C2529" s="3" t="str">
        <f>"TFC000001665"</f>
        <v>TFC000001665</v>
      </c>
      <c r="D2529" s="3" t="str">
        <f>"F900-20-1850-(AR 3.5)"</f>
        <v>F900-20-1850-(AR 3.5)</v>
      </c>
      <c r="E2529" s="3" t="str">
        <f>"Libba : the magnificent musical life of Elizabeth Cotten"</f>
        <v>Libba : the magnificent musical life of Elizabeth Cotten</v>
      </c>
      <c r="F2529" s="3" t="str">
        <f>"by Laura Veirs ; illustrated by Tatyana Fazlalizadeh"</f>
        <v>by Laura Veirs ; illustrated by Tatyana Fazlalizadeh</v>
      </c>
      <c r="G2529" s="3" t="str">
        <f>"Chronicle Books"</f>
        <v>Chronicle Books</v>
      </c>
      <c r="H2529" s="2" t="str">
        <f>"2018"</f>
        <v>2018</v>
      </c>
      <c r="I2529" s="3" t="str">
        <f>""</f>
        <v/>
      </c>
    </row>
    <row r="2530" spans="1:9" x14ac:dyDescent="0.3">
      <c r="A2530" s="2">
        <v>2529</v>
      </c>
      <c r="B2530" s="4" t="s">
        <v>36</v>
      </c>
      <c r="C2530" s="3" t="str">
        <f>"TFC000001814"</f>
        <v>TFC000001814</v>
      </c>
      <c r="D2530" s="3" t="str">
        <f>"F800-20-1845-(AR 3.5)"</f>
        <v>F800-20-1845-(AR 3.5)</v>
      </c>
      <c r="E2530" s="3" t="str">
        <f>"Judy Moody. 1, was in a mood"</f>
        <v>Judy Moody. 1, was in a mood</v>
      </c>
      <c r="F2530" s="3" t="str">
        <f>"Megan McDonald ; illustrated by Peter H. Reynolds"</f>
        <v>Megan McDonald ; illustrated by Peter H. Reynolds</v>
      </c>
      <c r="G2530" s="3" t="str">
        <f>"Candlewick Press"</f>
        <v>Candlewick Press</v>
      </c>
      <c r="H2530" s="2" t="str">
        <f>"2018"</f>
        <v>2018</v>
      </c>
      <c r="I2530" s="3" t="str">
        <f>""</f>
        <v/>
      </c>
    </row>
    <row r="2531" spans="1:9" x14ac:dyDescent="0.3">
      <c r="A2531" s="2">
        <v>2530</v>
      </c>
      <c r="B2531" s="4" t="s">
        <v>36</v>
      </c>
      <c r="C2531" s="3" t="str">
        <f>"TFC000002879"</f>
        <v>TFC000002879</v>
      </c>
      <c r="D2531" s="3" t="str">
        <f>"F800-20-1846-(AR 3.5)"</f>
        <v>F800-20-1846-(AR 3.5)</v>
      </c>
      <c r="E2531" s="3" t="str">
        <f>"(The)littles go exploring"</f>
        <v>(The)littles go exploring</v>
      </c>
      <c r="F2531" s="3" t="str">
        <f>"by John Peterson ; interior illustrated by Roberta Carter Clark"</f>
        <v>by John Peterson ; interior illustrated by Roberta Carter Clark</v>
      </c>
      <c r="G2531" s="3" t="str">
        <f>"Scholastic"</f>
        <v>Scholastic</v>
      </c>
      <c r="H2531" s="2" t="str">
        <f>"2009"</f>
        <v>2009</v>
      </c>
      <c r="I2531" s="3" t="str">
        <f>""</f>
        <v/>
      </c>
    </row>
    <row r="2532" spans="1:9" x14ac:dyDescent="0.3">
      <c r="A2532" s="2">
        <v>2531</v>
      </c>
      <c r="B2532" s="4" t="s">
        <v>36</v>
      </c>
      <c r="C2532" s="3" t="str">
        <f>"TFC000002881"</f>
        <v>TFC000002881</v>
      </c>
      <c r="D2532" s="3" t="str">
        <f>"F400-20-1761-(AR 3.5)"</f>
        <v>F400-20-1761-(AR 3.5)</v>
      </c>
      <c r="E2532" s="3" t="str">
        <f>"Koko's kitten"</f>
        <v>Koko's kitten</v>
      </c>
      <c r="F2532" s="3" t="str">
        <f>"by Dr. Francine Patterson ; photographs by Dr. Ronald H. Cohn"</f>
        <v>by Dr. Francine Patterson ; photographs by Dr. Ronald H. Cohn</v>
      </c>
      <c r="G2532" s="3" t="str">
        <f>"Scholastic"</f>
        <v>Scholastic</v>
      </c>
      <c r="H2532" s="2" t="str">
        <f>"1985"</f>
        <v>1985</v>
      </c>
      <c r="I2532" s="3" t="str">
        <f>""</f>
        <v/>
      </c>
    </row>
    <row r="2533" spans="1:9" x14ac:dyDescent="0.3">
      <c r="A2533" s="2">
        <v>2532</v>
      </c>
      <c r="B2533" s="4" t="s">
        <v>36</v>
      </c>
      <c r="C2533" s="3" t="str">
        <f>"TFC000002963"</f>
        <v>TFC000002963</v>
      </c>
      <c r="D2533" s="3" t="str">
        <f>"F400-20-1762-(AR 3.5)"</f>
        <v>F400-20-1762-(AR 3.5)</v>
      </c>
      <c r="E2533" s="3" t="str">
        <f>"Weather words and what they mean"</f>
        <v>Weather words and what they mean</v>
      </c>
      <c r="F2533" s="3" t="str">
        <f>"by Gail Gibbons"</f>
        <v>by Gail Gibbons</v>
      </c>
      <c r="G2533" s="3" t="str">
        <f>"Scholastic"</f>
        <v>Scholastic</v>
      </c>
      <c r="H2533" s="2" t="str">
        <f>"1991"</f>
        <v>1991</v>
      </c>
      <c r="I2533" s="3" t="str">
        <f>""</f>
        <v/>
      </c>
    </row>
    <row r="2534" spans="1:9" x14ac:dyDescent="0.3">
      <c r="A2534" s="2">
        <v>2533</v>
      </c>
      <c r="B2534" s="4" t="s">
        <v>36</v>
      </c>
      <c r="C2534" s="3" t="str">
        <f>"TFC000003062"</f>
        <v>TFC000003062</v>
      </c>
      <c r="D2534" s="3" t="str">
        <f>"F800-20-1849-(AR 3.5)"</f>
        <v>F800-20-1849-(AR 3.5)</v>
      </c>
      <c r="E2534" s="3" t="str">
        <f>"(The)12 screams of Christmas"</f>
        <v>(The)12 screams of Christmas</v>
      </c>
      <c r="F2534" s="3" t="str">
        <f>"R.L. Stine"</f>
        <v>R.L. Stine</v>
      </c>
      <c r="G2534" s="3" t="str">
        <f>"Scholastic"</f>
        <v>Scholastic</v>
      </c>
      <c r="H2534" s="2" t="str">
        <f>"2014"</f>
        <v>2014</v>
      </c>
      <c r="I2534" s="3" t="str">
        <f>""</f>
        <v/>
      </c>
    </row>
    <row r="2535" spans="1:9" x14ac:dyDescent="0.3">
      <c r="A2535" s="2">
        <v>2534</v>
      </c>
      <c r="B2535" s="4" t="s">
        <v>36</v>
      </c>
      <c r="C2535" s="3" t="str">
        <f>"TFC000003200"</f>
        <v>TFC000003200</v>
      </c>
      <c r="D2535" s="3" t="str">
        <f>"F400-21-0628-(AR 3.5)"</f>
        <v>F400-21-0628-(AR 3.5)</v>
      </c>
      <c r="E2535" s="3" t="str">
        <f>"Sink or swim"</f>
        <v>Sink or swim</v>
      </c>
      <c r="F2535" s="3" t="str">
        <f>"by Judy Katschke"</f>
        <v>by Judy Katschke</v>
      </c>
      <c r="G2535" s="3" t="str">
        <f>"Scholastic Paperbacks"</f>
        <v>Scholastic Paperbacks</v>
      </c>
      <c r="H2535" s="2" t="str">
        <f>"2018"</f>
        <v>2018</v>
      </c>
      <c r="I2535" s="3" t="str">
        <f>""</f>
        <v/>
      </c>
    </row>
    <row r="2536" spans="1:9" x14ac:dyDescent="0.3">
      <c r="A2536" s="2">
        <v>2535</v>
      </c>
      <c r="B2536" s="4" t="s">
        <v>36</v>
      </c>
      <c r="C2536" s="3" t="str">
        <f>"TFC000004220"</f>
        <v>TFC000004220</v>
      </c>
      <c r="D2536" s="3" t="str">
        <f>"F800-22-0040-(AR 3.5)"</f>
        <v>F800-22-0040-(AR 3.5)</v>
      </c>
      <c r="E2536" s="3" t="str">
        <f>"Sleepy hollow sleepover"</f>
        <v>Sleepy hollow sleepover</v>
      </c>
      <c r="F2536" s="3" t="str">
        <f>"by Ron Roy, illustrated by John Steven Gurney"</f>
        <v>by Ron Roy, illustrated by John Steven Gurney</v>
      </c>
      <c r="G2536" s="3" t="str">
        <f>"Random House"</f>
        <v>Random House</v>
      </c>
      <c r="H2536" s="2" t="str">
        <f>"2010"</f>
        <v>2010</v>
      </c>
      <c r="I2536" s="3" t="str">
        <f>""</f>
        <v/>
      </c>
    </row>
    <row r="2537" spans="1:9" x14ac:dyDescent="0.3">
      <c r="A2537" s="2">
        <v>2536</v>
      </c>
      <c r="B2537" s="4" t="s">
        <v>36</v>
      </c>
      <c r="C2537" s="3" t="str">
        <f>"TFC000003373"</f>
        <v>TFC000003373</v>
      </c>
      <c r="D2537" s="3" t="str">
        <f>"F800-21-0630-(AR 3.5)"</f>
        <v>F800-21-0630-(AR 3.5)</v>
      </c>
      <c r="E2537" s="3" t="str">
        <f>"(The)dramatic life of Azaleah Lane"</f>
        <v>(The)dramatic life of Azaleah Lane</v>
      </c>
      <c r="F2537" s="3" t="str">
        <f>"by Nikki Shannon Smith ; illustrated by Gloria Felix"</f>
        <v>by Nikki Shannon Smith ; illustrated by Gloria Felix</v>
      </c>
      <c r="G2537" s="3" t="str">
        <f>"Picture Window Books"</f>
        <v>Picture Window Books</v>
      </c>
      <c r="H2537" s="2" t="str">
        <f>"2021"</f>
        <v>2021</v>
      </c>
      <c r="I2537" s="3" t="str">
        <f>""</f>
        <v/>
      </c>
    </row>
    <row r="2538" spans="1:9" x14ac:dyDescent="0.3">
      <c r="A2538" s="2">
        <v>2537</v>
      </c>
      <c r="B2538" s="4" t="s">
        <v>36</v>
      </c>
      <c r="C2538" s="3" t="str">
        <f>"TFC000003374"</f>
        <v>TFC000003374</v>
      </c>
      <c r="D2538" s="3" t="str">
        <f>"F800-21-0631-(AR 3.5)"</f>
        <v>F800-21-0631-(AR 3.5)</v>
      </c>
      <c r="E2538" s="3" t="str">
        <f>"Fresh princess"</f>
        <v>Fresh princess</v>
      </c>
      <c r="F2538" s="3" t="str">
        <f>"written by Denene Millner ; illustrated by Gladys Jose"</f>
        <v>written by Denene Millner ; illustrated by Gladys Jose</v>
      </c>
      <c r="G2538" s="3" t="str">
        <f>"HarperCollins"</f>
        <v>HarperCollins</v>
      </c>
      <c r="H2538" s="2" t="str">
        <f>"2019"</f>
        <v>2019</v>
      </c>
      <c r="I2538" s="3" t="str">
        <f>""</f>
        <v/>
      </c>
    </row>
    <row r="2539" spans="1:9" x14ac:dyDescent="0.3">
      <c r="A2539" s="2">
        <v>2538</v>
      </c>
      <c r="B2539" s="4" t="s">
        <v>36</v>
      </c>
      <c r="C2539" s="3" t="str">
        <f>"TFC000003375"</f>
        <v>TFC000003375</v>
      </c>
      <c r="D2539" s="3" t="str">
        <f>"F800-21-0632-(AR 3.5)"</f>
        <v>F800-21-0632-(AR 3.5)</v>
      </c>
      <c r="E2539" s="3" t="str">
        <f>"(The)golden temple"</f>
        <v>(The)golden temple</v>
      </c>
      <c r="F2539" s="3" t="str">
        <f>"by Katrina Charman ; illustrated by Judit Tondora"</f>
        <v>by Katrina Charman ; illustrated by Judit Tondora</v>
      </c>
      <c r="G2539" s="3" t="str">
        <f>"Branches/Scholastic Inc"</f>
        <v>Branches/Scholastic Inc</v>
      </c>
      <c r="H2539" s="2" t="str">
        <f>"2020"</f>
        <v>2020</v>
      </c>
      <c r="I2539" s="3" t="str">
        <f>""</f>
        <v/>
      </c>
    </row>
    <row r="2540" spans="1:9" x14ac:dyDescent="0.3">
      <c r="A2540" s="2">
        <v>2539</v>
      </c>
      <c r="B2540" s="4" t="s">
        <v>36</v>
      </c>
      <c r="C2540" s="3" t="str">
        <f>"TFC000003376"</f>
        <v>TFC000003376</v>
      </c>
      <c r="D2540" s="3" t="str">
        <f>"F800-21-0633-(AR 3.5)"</f>
        <v>F800-21-0633-(AR 3.5)</v>
      </c>
      <c r="E2540" s="3" t="str">
        <f>"(The)princess in Black and the giant problem"</f>
        <v>(The)princess in Black and the giant problem</v>
      </c>
      <c r="F2540" s="3" t="str">
        <f>"by Shannon Hale, Dean Hale ; illustrated by LeUyen Pham"</f>
        <v>by Shannon Hale, Dean Hale ; illustrated by LeUyen Pham</v>
      </c>
      <c r="G2540" s="3" t="str">
        <f>"Candlewick Press"</f>
        <v>Candlewick Press</v>
      </c>
      <c r="H2540" s="2" t="str">
        <f>"2020"</f>
        <v>2020</v>
      </c>
      <c r="I2540" s="3" t="str">
        <f>""</f>
        <v/>
      </c>
    </row>
    <row r="2541" spans="1:9" x14ac:dyDescent="0.3">
      <c r="A2541" s="2">
        <v>2540</v>
      </c>
      <c r="B2541" s="4" t="s">
        <v>36</v>
      </c>
      <c r="C2541" s="3" t="str">
        <f>"TFC000003518"</f>
        <v>TFC000003518</v>
      </c>
      <c r="D2541" s="3" t="str">
        <f>"F800-21-0636-(AR 3.5)"</f>
        <v>F800-21-0636-(AR 3.5)</v>
      </c>
      <c r="E2541" s="3" t="str">
        <f>"Isadora Moon has a birthday"</f>
        <v>Isadora Moon has a birthday</v>
      </c>
      <c r="F2541" s="3" t="str">
        <f>"by Harriet Muncaster"</f>
        <v>by Harriet Muncaster</v>
      </c>
      <c r="G2541" s="3" t="str">
        <f>"Random House"</f>
        <v>Random House</v>
      </c>
      <c r="H2541" s="2" t="str">
        <f>"[2016]"</f>
        <v>[2016]</v>
      </c>
      <c r="I2541" s="3" t="str">
        <f>""</f>
        <v/>
      </c>
    </row>
    <row r="2542" spans="1:9" x14ac:dyDescent="0.3">
      <c r="A2542" s="2">
        <v>2541</v>
      </c>
      <c r="B2542" s="4" t="s">
        <v>36</v>
      </c>
      <c r="C2542" s="3" t="str">
        <f>"TFC000003533"</f>
        <v>TFC000003533</v>
      </c>
      <c r="D2542" s="3" t="str">
        <f>"F400-21-0629-(AR 3.5)"</f>
        <v>F400-21-0629-(AR 3.5)</v>
      </c>
      <c r="E2542" s="3" t="str">
        <f>"(The)bug girl : a true story"</f>
        <v>(The)bug girl : a true story</v>
      </c>
      <c r="F2542" s="3" t="str">
        <f>"by the Bug Girl herself, Sophia Spencer, with Margaret McNamara ; illustrated by Kerascoet"</f>
        <v>by the Bug Girl herself, Sophia Spencer, with Margaret McNamara ; illustrated by Kerascoet</v>
      </c>
      <c r="G2542" s="3" t="str">
        <f>"Schwartz &amp; Wade"</f>
        <v>Schwartz &amp; Wade</v>
      </c>
      <c r="H2542" s="2" t="str">
        <f>"2020"</f>
        <v>2020</v>
      </c>
      <c r="I2542" s="3" t="str">
        <f>""</f>
        <v/>
      </c>
    </row>
    <row r="2543" spans="1:9" x14ac:dyDescent="0.3">
      <c r="A2543" s="2">
        <v>2542</v>
      </c>
      <c r="B2543" s="4" t="s">
        <v>36</v>
      </c>
      <c r="C2543" s="3" t="str">
        <f>"TFC000004010"</f>
        <v>TFC000004010</v>
      </c>
      <c r="D2543" s="3" t="str">
        <f>"F800-21-0646-(AR 3.5)"</f>
        <v>F800-21-0646-(AR 3.5)</v>
      </c>
      <c r="E2543" s="3" t="str">
        <f>"Going down home with daddy"</f>
        <v>Going down home with daddy</v>
      </c>
      <c r="F2543" s="3" t="str">
        <f>"written by Kelly Starling Lyons, illustrated by Daniel Minter"</f>
        <v>written by Kelly Starling Lyons, illustrated by Daniel Minter</v>
      </c>
      <c r="G2543" s="3" t="str">
        <f>"Peachtree"</f>
        <v>Peachtree</v>
      </c>
      <c r="H2543" s="2" t="str">
        <f>"2019"</f>
        <v>2019</v>
      </c>
      <c r="I2543" s="3" t="str">
        <f>""</f>
        <v/>
      </c>
    </row>
    <row r="2544" spans="1:9" x14ac:dyDescent="0.3">
      <c r="A2544" s="2">
        <v>2543</v>
      </c>
      <c r="B2544" s="4" t="s">
        <v>36</v>
      </c>
      <c r="C2544" s="3" t="str">
        <f>"TFC000004062"</f>
        <v>TFC000004062</v>
      </c>
      <c r="D2544" s="3" t="str">
        <f>"F800-21-0647-(AR 3.5)"</f>
        <v>F800-21-0647-(AR 3.5)</v>
      </c>
      <c r="E2544" s="3" t="str">
        <f>"(The)Infamous Ratsos"</f>
        <v>(The)Infamous Ratsos</v>
      </c>
      <c r="F2544" s="3" t="str">
        <f>"by Kara Lareau, illustrated by Matt Myers"</f>
        <v>by Kara Lareau, illustrated by Matt Myers</v>
      </c>
      <c r="G2544" s="3" t="str">
        <f>"Candlewick Pr"</f>
        <v>Candlewick Pr</v>
      </c>
      <c r="H2544" s="2" t="str">
        <f>"2020"</f>
        <v>2020</v>
      </c>
      <c r="I2544" s="3" t="str">
        <f>""</f>
        <v/>
      </c>
    </row>
    <row r="2545" spans="1:9" x14ac:dyDescent="0.3">
      <c r="A2545" s="2">
        <v>2544</v>
      </c>
      <c r="B2545" s="4" t="s">
        <v>36</v>
      </c>
      <c r="C2545" s="3" t="str">
        <f>"TFC000004176"</f>
        <v>TFC000004176</v>
      </c>
      <c r="D2545" s="3" t="str">
        <f>"F800-21-0649-(AR 3.5)"</f>
        <v>F800-21-0649-(AR 3.5)</v>
      </c>
      <c r="E2545" s="3" t="str">
        <f>"And Tango makes three"</f>
        <v>And Tango makes three</v>
      </c>
      <c r="F2545" s="3" t="str">
        <f>"by Justin Richardson and Peter Parnell, illustrated by Henry Cole"</f>
        <v>by Justin Richardson and Peter Parnell, illustrated by Henry Cole</v>
      </c>
      <c r="G2545" s="3" t="str">
        <f>"Simon &amp; Schuster Books for Young Readers"</f>
        <v>Simon &amp; Schuster Books for Young Readers</v>
      </c>
      <c r="H2545" s="2" t="str">
        <f>"c2005"</f>
        <v>c2005</v>
      </c>
      <c r="I2545" s="3" t="str">
        <f>""</f>
        <v/>
      </c>
    </row>
    <row r="2546" spans="1:9" x14ac:dyDescent="0.3">
      <c r="A2546" s="2">
        <v>2545</v>
      </c>
      <c r="B2546" s="4" t="s">
        <v>36</v>
      </c>
      <c r="C2546" s="3" t="str">
        <f>"TFC000004177"</f>
        <v>TFC000004177</v>
      </c>
      <c r="D2546" s="3" t="str">
        <f>"F800-21-0650-(AR 3.5)"</f>
        <v>F800-21-0650-(AR 3.5)</v>
      </c>
      <c r="E2546" s="3" t="str">
        <f>"Monster power"</f>
        <v>Monster power</v>
      </c>
      <c r="F2546" s="3" t="str">
        <f>"by Judy Katschke, illustrated by Artful doodlers Ltd."</f>
        <v>by Judy Katschke, illustrated by Artful doodlers Ltd.</v>
      </c>
      <c r="G2546" s="3" t="str">
        <f>"Scholastic Paperbacks"</f>
        <v>Scholastic Paperbacks</v>
      </c>
      <c r="H2546" s="2" t="str">
        <f>"2017"</f>
        <v>2017</v>
      </c>
      <c r="I2546" s="3" t="str">
        <f>""</f>
        <v/>
      </c>
    </row>
    <row r="2547" spans="1:9" x14ac:dyDescent="0.3">
      <c r="A2547" s="2">
        <v>2546</v>
      </c>
      <c r="B2547" s="4" t="s">
        <v>36</v>
      </c>
      <c r="C2547" s="3" t="str">
        <f>"TFC000004178"</f>
        <v>TFC000004178</v>
      </c>
      <c r="D2547" s="3" t="str">
        <f>"F800-21-0651-(AR 3.5)"</f>
        <v>F800-21-0651-(AR 3.5)</v>
      </c>
      <c r="E2547" s="3" t="str">
        <f>"(The)dinky donkey"</f>
        <v>(The)dinky donkey</v>
      </c>
      <c r="F2547" s="3" t="str">
        <f>"words by Craig Smith, illustrations by Katz Cowley"</f>
        <v>words by Craig Smith, illustrations by Katz Cowley</v>
      </c>
      <c r="G2547" s="3" t="str">
        <f>"Scholastic"</f>
        <v>Scholastic</v>
      </c>
      <c r="H2547" s="2" t="str">
        <f>"2019"</f>
        <v>2019</v>
      </c>
      <c r="I2547" s="3" t="str">
        <f>""</f>
        <v/>
      </c>
    </row>
    <row r="2548" spans="1:9" x14ac:dyDescent="0.3">
      <c r="A2548" s="2">
        <v>2547</v>
      </c>
      <c r="B2548" s="4" t="s">
        <v>36</v>
      </c>
      <c r="C2548" s="3" t="str">
        <f>"TFC000004219"</f>
        <v>TFC000004219</v>
      </c>
      <c r="D2548" s="3" t="str">
        <f>"F800-22-0039-(AR 3.5)"</f>
        <v>F800-22-0039-(AR 3.5)</v>
      </c>
      <c r="E2548" s="3" t="str">
        <f>"White house white-out"</f>
        <v>White house white-out</v>
      </c>
      <c r="F2548" s="3" t="str">
        <f>"by Ron Roy, Illustrated by John Steven Gurney"</f>
        <v>by Ron Roy, Illustrated by John Steven Gurney</v>
      </c>
      <c r="G2548" s="3" t="str">
        <f>"Random House"</f>
        <v>Random House</v>
      </c>
      <c r="H2548" s="2" t="str">
        <f>"2015"</f>
        <v>2015</v>
      </c>
      <c r="I2548" s="3" t="str">
        <f>""</f>
        <v/>
      </c>
    </row>
    <row r="2549" spans="1:9" x14ac:dyDescent="0.3">
      <c r="A2549" s="2">
        <v>2548</v>
      </c>
      <c r="B2549" s="4" t="s">
        <v>36</v>
      </c>
      <c r="C2549" s="3" t="str">
        <f>"TFC000004477"</f>
        <v>TFC000004477</v>
      </c>
      <c r="D2549" s="3" t="str">
        <f>"F400-22-0286-(AR 3.5)"</f>
        <v>F400-22-0286-(AR 3.5)</v>
      </c>
      <c r="E2549" s="3" t="str">
        <f>"Ranger Rick : I wish I was a monarch butterfly"</f>
        <v>Ranger Rick : I wish I was a monarch butterfly</v>
      </c>
      <c r="F2549" s="3" t="str">
        <f>"by Jennifer Bove"</f>
        <v>by Jennifer Bove</v>
      </c>
      <c r="G2549" s="3" t="str">
        <f>"HarperCollins"</f>
        <v>HarperCollins</v>
      </c>
      <c r="H2549" s="2" t="str">
        <f>"2019"</f>
        <v>2019</v>
      </c>
      <c r="I2549" s="3" t="str">
        <f>""</f>
        <v/>
      </c>
    </row>
    <row r="2550" spans="1:9" x14ac:dyDescent="0.3">
      <c r="A2550" s="2">
        <v>2549</v>
      </c>
      <c r="B2550" s="4" t="s">
        <v>36</v>
      </c>
      <c r="C2550" s="3" t="str">
        <f>"TFC000004704"</f>
        <v>TFC000004704</v>
      </c>
      <c r="D2550" s="3" t="str">
        <f>"F800-22-0513-(AR3.5)"</f>
        <v>F800-22-0513-(AR3.5)</v>
      </c>
      <c r="E2550" s="3" t="str">
        <f>"Charlie cook's favourite book"</f>
        <v>Charlie cook's favourite book</v>
      </c>
      <c r="F2550" s="3" t="str">
        <f>"written by Julia Donaldson, illustrated by Axel Scheffler"</f>
        <v>written by Julia Donaldson, illustrated by Axel Scheffler</v>
      </c>
      <c r="G2550" s="3" t="str">
        <f>"Macmillan"</f>
        <v>Macmillan</v>
      </c>
      <c r="H2550" s="2" t="str">
        <f>"2016"</f>
        <v>2016</v>
      </c>
      <c r="I2550" s="2" t="s">
        <v>2</v>
      </c>
    </row>
    <row r="2551" spans="1:9" x14ac:dyDescent="0.3">
      <c r="A2551" s="2">
        <v>2550</v>
      </c>
      <c r="B2551" s="4" t="s">
        <v>36</v>
      </c>
      <c r="C2551" s="3" t="str">
        <f>"TFC000004472"</f>
        <v>TFC000004472</v>
      </c>
      <c r="D2551" s="3" t="str">
        <f>"F800-22-0281-(AR3.5)"</f>
        <v>F800-22-0281-(AR3.5)</v>
      </c>
      <c r="E2551" s="3" t="str">
        <f>"Balto and the race against time"</f>
        <v>Balto and the race against time</v>
      </c>
      <c r="F2551" s="3" t="str">
        <f>"by Helen Moss, illustrated by Misa Saburi"</f>
        <v>by Helen Moss, illustrated by Misa Saburi</v>
      </c>
      <c r="G2551" s="3" t="str">
        <f>"Henry holt books for"</f>
        <v>Henry holt books for</v>
      </c>
      <c r="H2551" s="2" t="str">
        <f>"2019"</f>
        <v>2019</v>
      </c>
      <c r="I2551" s="3" t="str">
        <f>""</f>
        <v/>
      </c>
    </row>
    <row r="2552" spans="1:9" x14ac:dyDescent="0.3">
      <c r="A2552" s="2">
        <v>2551</v>
      </c>
      <c r="B2552" s="4" t="s">
        <v>36</v>
      </c>
      <c r="C2552" s="3" t="str">
        <f>"TFC000004473"</f>
        <v>TFC000004473</v>
      </c>
      <c r="D2552" s="3" t="str">
        <f>"F800-22-0282-(AR3.5)"</f>
        <v>F800-22-0282-(AR3.5)</v>
      </c>
      <c r="E2552" s="3" t="str">
        <f>"I Am Frida Kahlo"</f>
        <v>I Am Frida Kahlo</v>
      </c>
      <c r="F2552" s="3" t="str">
        <f>"by Brad Meltzer, illustrated by Christopher Eliopoulos"</f>
        <v>by Brad Meltzer, illustrated by Christopher Eliopoulos</v>
      </c>
      <c r="G2552" s="3" t="str">
        <f>"Dial Books"</f>
        <v>Dial Books</v>
      </c>
      <c r="H2552" s="2" t="str">
        <f>"2021"</f>
        <v>2021</v>
      </c>
      <c r="I2552" s="3" t="str">
        <f>""</f>
        <v/>
      </c>
    </row>
    <row r="2553" spans="1:9" x14ac:dyDescent="0.3">
      <c r="A2553" s="2">
        <v>2552</v>
      </c>
      <c r="B2553" s="4" t="s">
        <v>36</v>
      </c>
      <c r="C2553" s="3" t="str">
        <f>"TFC000004474"</f>
        <v>TFC000004474</v>
      </c>
      <c r="D2553" s="3" t="str">
        <f>"F900-22-0283-(AR3.5)"</f>
        <v>F900-22-0283-(AR3.5)</v>
      </c>
      <c r="E2553" s="3" t="str">
        <f>"Machu Picchu"</f>
        <v>Machu Picchu</v>
      </c>
      <c r="F2553" s="3" t="str">
        <f>"by Julie Murray"</f>
        <v>by Julie Murray</v>
      </c>
      <c r="G2553" s="3" t="str">
        <f>"Dash"</f>
        <v>Dash</v>
      </c>
      <c r="H2553" s="2" t="str">
        <f>"2021"</f>
        <v>2021</v>
      </c>
      <c r="I2553" s="3" t="str">
        <f>""</f>
        <v/>
      </c>
    </row>
    <row r="2554" spans="1:9" x14ac:dyDescent="0.3">
      <c r="A2554" s="2">
        <v>2553</v>
      </c>
      <c r="B2554" s="4" t="s">
        <v>36</v>
      </c>
      <c r="C2554" s="3" t="str">
        <f>"TFC000004475"</f>
        <v>TFC000004475</v>
      </c>
      <c r="D2554" s="3" t="str">
        <f>"F800-22-0284-(AR3.5)"</f>
        <v>F800-22-0284-(AR3.5)</v>
      </c>
      <c r="E2554" s="3" t="str">
        <f>"(The)Secret of the Hidden Scrolls. 8, Miracles by the Sea"</f>
        <v>(The)Secret of the Hidden Scrolls. 8, Miracles by the Sea</v>
      </c>
      <c r="F2554" s="3" t="str">
        <f>"by M. J. Thomas"</f>
        <v>by M. J. Thomas</v>
      </c>
      <c r="G2554" s="3" t="str">
        <f>"Worthy Kids"</f>
        <v>Worthy Kids</v>
      </c>
      <c r="H2554" s="2" t="str">
        <f>"2020"</f>
        <v>2020</v>
      </c>
      <c r="I2554" s="3" t="str">
        <f>""</f>
        <v/>
      </c>
    </row>
    <row r="2555" spans="1:9" x14ac:dyDescent="0.3">
      <c r="A2555" s="2">
        <v>2554</v>
      </c>
      <c r="B2555" s="4" t="s">
        <v>36</v>
      </c>
      <c r="C2555" s="3" t="str">
        <f>"TFC000004476"</f>
        <v>TFC000004476</v>
      </c>
      <c r="D2555" s="3" t="str">
        <f>"F800-22-0285-(AR3.5)"</f>
        <v>F800-22-0285-(AR3.5)</v>
      </c>
      <c r="E2555" s="3" t="str">
        <f>"(A)new kind of wild"</f>
        <v>(A)new kind of wild</v>
      </c>
      <c r="F2555" s="3" t="str">
        <f>"by Zara Gonzalez Hoang"</f>
        <v>by Zara Gonzalez Hoang</v>
      </c>
      <c r="G2555" s="3" t="str">
        <f>"Dial Books for Young Readers"</f>
        <v>Dial Books for Young Readers</v>
      </c>
      <c r="H2555" s="2" t="str">
        <f>"[2020]"</f>
        <v>[2020]</v>
      </c>
      <c r="I2555" s="3" t="str">
        <f>""</f>
        <v/>
      </c>
    </row>
    <row r="2556" spans="1:9" x14ac:dyDescent="0.3">
      <c r="A2556" s="2">
        <v>2555</v>
      </c>
      <c r="B2556" s="4" t="s">
        <v>36</v>
      </c>
      <c r="C2556" s="3" t="str">
        <f>"TFC000004478"</f>
        <v>TFC000004478</v>
      </c>
      <c r="D2556" s="3" t="str">
        <f>"F800-22-0287-(AR3.5)"</f>
        <v>F800-22-0287-(AR3.5)</v>
      </c>
      <c r="E2556" s="3" t="str">
        <f>"Sweet Dreams!"</f>
        <v>Sweet Dreams!</v>
      </c>
      <c r="F2556" s="3" t="str">
        <f>"by Holly Anna"</f>
        <v>by Holly Anna</v>
      </c>
      <c r="G2556" s="3" t="str">
        <f>"Little Simon"</f>
        <v>Little Simon</v>
      </c>
      <c r="H2556" s="2" t="str">
        <f>"2020"</f>
        <v>2020</v>
      </c>
      <c r="I2556" s="3" t="str">
        <f>""</f>
        <v/>
      </c>
    </row>
    <row r="2557" spans="1:9" x14ac:dyDescent="0.3">
      <c r="A2557" s="2">
        <v>2556</v>
      </c>
      <c r="B2557" s="4" t="s">
        <v>36</v>
      </c>
      <c r="C2557" s="3" t="str">
        <f>"TFC000004897"</f>
        <v>TFC000004897</v>
      </c>
      <c r="D2557" s="3" t="str">
        <f>"F800-23-0001-(AR3.5)"</f>
        <v>F800-23-0001-(AR3.5)</v>
      </c>
      <c r="E2557" s="3" t="str">
        <f>"Memoirs of an elf"</f>
        <v>Memoirs of an elf</v>
      </c>
      <c r="F2557" s="3" t="str">
        <f>"by Devin Scillian, illustrated by Tim Bowers"</f>
        <v>by Devin Scillian, illustrated by Tim Bowers</v>
      </c>
      <c r="G2557" s="3" t="str">
        <f>"Sleeping Bear Press"</f>
        <v>Sleeping Bear Press</v>
      </c>
      <c r="H2557" s="2" t="str">
        <f>"2014"</f>
        <v>2014</v>
      </c>
      <c r="I2557" s="3" t="str">
        <f>""</f>
        <v/>
      </c>
    </row>
    <row r="2558" spans="1:9" x14ac:dyDescent="0.3">
      <c r="A2558" s="2">
        <v>2557</v>
      </c>
      <c r="B2558" s="4" t="s">
        <v>36</v>
      </c>
      <c r="C2558" s="3" t="str">
        <f>"TFC000004862"</f>
        <v>TFC000004862</v>
      </c>
      <c r="D2558" s="3" t="str">
        <f>"F800-22-0592-(AR3.5)"</f>
        <v>F800-22-0592-(AR3.5)</v>
      </c>
      <c r="E2558" s="3" t="str">
        <f>"Investi gators ants in our P.A.N.T.S"</f>
        <v>Investi gators ants in our P.A.N.T.S</v>
      </c>
      <c r="F2558" s="3" t="str">
        <f>"by John Patrick Green"</f>
        <v>by John Patrick Green</v>
      </c>
      <c r="G2558" s="3" t="str">
        <f>"First Second"</f>
        <v>First Second</v>
      </c>
      <c r="H2558" s="2" t="str">
        <f>"2021"</f>
        <v>2021</v>
      </c>
      <c r="I2558" s="3" t="str">
        <f>""</f>
        <v/>
      </c>
    </row>
    <row r="2559" spans="1:9" x14ac:dyDescent="0.3">
      <c r="A2559" s="2">
        <v>2558</v>
      </c>
      <c r="B2559" s="4" t="s">
        <v>36</v>
      </c>
      <c r="C2559" s="3" t="str">
        <f>"TFC000004867"</f>
        <v>TFC000004867</v>
      </c>
      <c r="D2559" s="3" t="str">
        <f>"F800-22-0597-(AR3.5)"</f>
        <v>F800-22-0597-(AR3.5)</v>
      </c>
      <c r="E2559" s="3" t="str">
        <f>"Investi gators braver and boulder"</f>
        <v>Investi gators braver and boulder</v>
      </c>
      <c r="F2559" s="3" t="str">
        <f>"by John Patrick Green"</f>
        <v>by John Patrick Green</v>
      </c>
      <c r="G2559" s="3" t="str">
        <f>"First Second"</f>
        <v>First Second</v>
      </c>
      <c r="H2559" s="2" t="str">
        <f>"2022"</f>
        <v>2022</v>
      </c>
      <c r="I2559" s="3" t="str">
        <f>""</f>
        <v/>
      </c>
    </row>
    <row r="2560" spans="1:9" x14ac:dyDescent="0.3">
      <c r="A2560" s="2">
        <v>2559</v>
      </c>
      <c r="B2560" s="4">
        <v>3.5</v>
      </c>
      <c r="C2560" s="3" t="str">
        <f>"TFC000004008"</f>
        <v>TFC000004008</v>
      </c>
      <c r="D2560" s="3" t="str">
        <f>"F800-21-0644-13(AR 3.5)"</f>
        <v>F800-21-0644-13(AR 3.5)</v>
      </c>
      <c r="E2560" s="3" t="str">
        <f>"Judy Moody. 13, Judy Moody and the bucket list"</f>
        <v>Judy Moody. 13, Judy Moody and the bucket list</v>
      </c>
      <c r="F2560" s="3" t="str">
        <f>"by Megan McDonald, illustrations by Peter H. Reynolds"</f>
        <v>by Megan McDonald, illustrations by Peter H. Reynolds</v>
      </c>
      <c r="G2560" s="3" t="str">
        <f>"Candlewick Press"</f>
        <v>Candlewick Press</v>
      </c>
      <c r="H2560" s="2" t="str">
        <f>"2016"</f>
        <v>2016</v>
      </c>
      <c r="I2560" s="3" t="str">
        <f>""</f>
        <v/>
      </c>
    </row>
    <row r="2561" spans="1:9" x14ac:dyDescent="0.3">
      <c r="A2561" s="2">
        <v>2560</v>
      </c>
      <c r="B2561" s="4">
        <v>3.5</v>
      </c>
      <c r="C2561" s="3" t="str">
        <f>"TFC000001578"</f>
        <v>TFC000001578</v>
      </c>
      <c r="D2561" s="3" t="str">
        <f>"F400-20-1756-14(AR 3.5)"</f>
        <v>F400-20-1756-14(AR 3.5)</v>
      </c>
      <c r="E2561" s="3" t="str">
        <f>"Andrew lost. 14, with the bats"</f>
        <v>Andrew lost. 14, with the bats</v>
      </c>
      <c r="F2561" s="3" t="str">
        <f>"by J. C. Greenburg ; illustrated by Jan Gerardi"</f>
        <v>by J. C. Greenburg ; illustrated by Jan Gerardi</v>
      </c>
      <c r="G2561" s="3" t="str">
        <f>"Random House"</f>
        <v>Random House</v>
      </c>
      <c r="H2561" s="2" t="str">
        <f>"2006"</f>
        <v>2006</v>
      </c>
      <c r="I2561" s="3" t="str">
        <f>""</f>
        <v/>
      </c>
    </row>
    <row r="2562" spans="1:9" x14ac:dyDescent="0.3">
      <c r="A2562" s="2">
        <v>2561</v>
      </c>
      <c r="B2562" s="4">
        <v>3.5</v>
      </c>
      <c r="C2562" s="3" t="str">
        <f>"TFC000001649"</f>
        <v>TFC000001649</v>
      </c>
      <c r="D2562" s="3" t="str">
        <f>"F800-20-1829-14(AR 3.5)"</f>
        <v>F800-20-1829-14(AR 3.5)</v>
      </c>
      <c r="E2562" s="3" t="str">
        <f>"Dragon masters. 14, land of the spring dragon"</f>
        <v>Dragon masters. 14, land of the spring dragon</v>
      </c>
      <c r="F2562" s="3" t="str">
        <f>"by Tracey West ; illustrated by Matt Loveridge"</f>
        <v>by Tracey West ; illustrated by Matt Loveridge</v>
      </c>
      <c r="G2562" s="3" t="str">
        <f>"Scholastic"</f>
        <v>Scholastic</v>
      </c>
      <c r="H2562" s="2" t="str">
        <f>"2019"</f>
        <v>2019</v>
      </c>
      <c r="I2562" s="3" t="str">
        <f>""</f>
        <v/>
      </c>
    </row>
    <row r="2563" spans="1:9" x14ac:dyDescent="0.3">
      <c r="A2563" s="2">
        <v>2562</v>
      </c>
      <c r="B2563" s="4">
        <v>3.5</v>
      </c>
      <c r="C2563" s="3" t="str">
        <f>"TFC000003430"</f>
        <v>TFC000003430</v>
      </c>
      <c r="D2563" s="3" t="str">
        <f>"F800-21-0634-15(AR 3.5)"</f>
        <v>F800-21-0634-15(AR 3.5)</v>
      </c>
      <c r="E2563" s="3" t="str">
        <f>"Dragon masters. 15, Future of the time dragon"</f>
        <v>Dragon masters. 15, Future of the time dragon</v>
      </c>
      <c r="F2563" s="3" t="str">
        <f>"by Tracey West ; illustrated by Daniel Griffo"</f>
        <v>by Tracey West ; illustrated by Daniel Griffo</v>
      </c>
      <c r="G2563" s="3" t="str">
        <f>"Branches:Scholastic"</f>
        <v>Branches:Scholastic</v>
      </c>
      <c r="H2563" s="2" t="str">
        <f>"2020"</f>
        <v>2020</v>
      </c>
      <c r="I2563" s="3" t="str">
        <f>""</f>
        <v/>
      </c>
    </row>
    <row r="2564" spans="1:9" x14ac:dyDescent="0.3">
      <c r="A2564" s="2">
        <v>2563</v>
      </c>
      <c r="B2564" s="4">
        <v>3.5</v>
      </c>
      <c r="C2564" s="3" t="str">
        <f>"TFC000003431"</f>
        <v>TFC000003431</v>
      </c>
      <c r="D2564" s="3" t="str">
        <f>"F800-21-0635-17(AR 3.5)"</f>
        <v>F800-21-0635-17(AR 3.5)</v>
      </c>
      <c r="E2564" s="3" t="str">
        <f>"Dragon masters. 17, Fortress of the stone dragon"</f>
        <v>Dragon masters. 17, Fortress of the stone dragon</v>
      </c>
      <c r="F2564" s="3" t="str">
        <f>"by Tracey West ; illustrated by Matt Loveridge"</f>
        <v>by Tracey West ; illustrated by Matt Loveridge</v>
      </c>
      <c r="G2564" s="3" t="str">
        <f>"Scholastic"</f>
        <v>Scholastic</v>
      </c>
      <c r="H2564" s="2" t="str">
        <f>"2020"</f>
        <v>2020</v>
      </c>
      <c r="I2564" s="3" t="str">
        <f>""</f>
        <v/>
      </c>
    </row>
    <row r="2565" spans="1:9" x14ac:dyDescent="0.3">
      <c r="A2565" s="2">
        <v>2564</v>
      </c>
      <c r="B2565" s="4">
        <v>3.5</v>
      </c>
      <c r="C2565" s="3" t="str">
        <f>"TFC000003940"</f>
        <v>TFC000003940</v>
      </c>
      <c r="D2565" s="3" t="str">
        <f>"F800-21-0642-19(AR 3.5)"</f>
        <v>F800-21-0642-19(AR 3.5)</v>
      </c>
      <c r="E2565" s="3" t="str">
        <f>"Dragon Masters. 19, Wave of the sea dragon"</f>
        <v>Dragon Masters. 19, Wave of the sea dragon</v>
      </c>
      <c r="F2565" s="3" t="str">
        <f>"by Tracey West, ill by Matt Loveridge"</f>
        <v>by Tracey West, ill by Matt Loveridge</v>
      </c>
      <c r="G2565" s="3" t="str">
        <f>"branches"</f>
        <v>branches</v>
      </c>
      <c r="H2565" s="2" t="str">
        <f>"2021"</f>
        <v>2021</v>
      </c>
      <c r="I2565" s="3" t="str">
        <f>""</f>
        <v/>
      </c>
    </row>
    <row r="2566" spans="1:9" x14ac:dyDescent="0.3">
      <c r="A2566" s="2">
        <v>2565</v>
      </c>
      <c r="B2566" s="4">
        <v>3.5</v>
      </c>
      <c r="C2566" s="3" t="str">
        <f>"TFC000004007"</f>
        <v>TFC000004007</v>
      </c>
      <c r="D2566" s="3" t="str">
        <f>"F800-21-0643-19(AR 3.5)"</f>
        <v>F800-21-0643-19(AR 3.5)</v>
      </c>
      <c r="E2566" s="3" t="str">
        <f>"Dragon masters. 19, Wave of the sea dragon"</f>
        <v>Dragon masters. 19, Wave of the sea dragon</v>
      </c>
      <c r="F2566" s="3" t="str">
        <f>"by Tracey West"</f>
        <v>by Tracey West</v>
      </c>
      <c r="G2566" s="3" t="str">
        <f>"Scholastic"</f>
        <v>Scholastic</v>
      </c>
      <c r="H2566" s="2" t="str">
        <f>"2021"</f>
        <v>2021</v>
      </c>
      <c r="I2566" s="3" t="str">
        <f>""</f>
        <v/>
      </c>
    </row>
    <row r="2567" spans="1:9" x14ac:dyDescent="0.3">
      <c r="A2567" s="2">
        <v>2566</v>
      </c>
      <c r="B2567" s="4">
        <v>3.5</v>
      </c>
      <c r="C2567" s="3" t="str">
        <f>"TFC000001627"</f>
        <v>TFC000001627</v>
      </c>
      <c r="D2567" s="3" t="str">
        <f>"F800-20-1807-2(AR 3.5)"</f>
        <v>F800-20-1807-2(AR 3.5)</v>
      </c>
      <c r="E2567" s="3" t="str">
        <f>"Judy Moody. 2, gets famous!"</f>
        <v>Judy Moody. 2, gets famous!</v>
      </c>
      <c r="F2567" s="3" t="str">
        <f>"by Megan McDonald ; illustrated by Peter H. Reynolds"</f>
        <v>by Megan McDonald ; illustrated by Peter H. Reynolds</v>
      </c>
      <c r="G2567" s="3" t="str">
        <f>"Candlewick Press"</f>
        <v>Candlewick Press</v>
      </c>
      <c r="H2567" s="2" t="str">
        <f>"2020"</f>
        <v>2020</v>
      </c>
      <c r="I2567" s="3" t="str">
        <f>""</f>
        <v/>
      </c>
    </row>
    <row r="2568" spans="1:9" x14ac:dyDescent="0.3">
      <c r="A2568" s="2">
        <v>2567</v>
      </c>
      <c r="B2568" s="4">
        <v>3.5</v>
      </c>
      <c r="C2568" s="3" t="str">
        <f>"TFC000004119"</f>
        <v>TFC000004119</v>
      </c>
      <c r="D2568" s="3" t="str">
        <f>"F800-21-0648-2(AR 3.5)"</f>
        <v>F800-21-0648-2(AR 3.5)</v>
      </c>
      <c r="E2568" s="3" t="str">
        <f>"Mac B. kid spy : mac undercover. 2"</f>
        <v>Mac B. kid spy : mac undercover. 2</v>
      </c>
      <c r="F2568" s="3" t="str">
        <f>"by Mac Barnett, illustrated by Mike Lowery"</f>
        <v>by Mac Barnett, illustrated by Mike Lowery</v>
      </c>
      <c r="G2568" s="3" t="str">
        <f>"Orchard Books"</f>
        <v>Orchard Books</v>
      </c>
      <c r="H2568" s="2" t="str">
        <f>"2018"</f>
        <v>2018</v>
      </c>
      <c r="I2568" s="3" t="str">
        <f>""</f>
        <v/>
      </c>
    </row>
    <row r="2569" spans="1:9" x14ac:dyDescent="0.3">
      <c r="A2569" s="2">
        <v>2568</v>
      </c>
      <c r="B2569" s="4">
        <v>3.5</v>
      </c>
      <c r="C2569" s="3" t="str">
        <f>"TFC000001606"</f>
        <v>TFC000001606</v>
      </c>
      <c r="D2569" s="3" t="str">
        <f>"F800-20-1786-6(AR 3.5)"</f>
        <v>F800-20-1786-6(AR 3.5)</v>
      </c>
      <c r="E2569" s="3" t="str">
        <f>"Eerie elementary. 6, sam battles the machine!"</f>
        <v>Eerie elementary. 6, sam battles the machine!</v>
      </c>
      <c r="F2569" s="3" t="str">
        <f>"by Jack Chabert ; illustrated by Sam Ricks"</f>
        <v>by Jack Chabert ; illustrated by Sam Ricks</v>
      </c>
      <c r="G2569" s="3" t="str">
        <f>"Scholastic"</f>
        <v>Scholastic</v>
      </c>
      <c r="H2569" s="2" t="str">
        <f>"2017"</f>
        <v>2017</v>
      </c>
      <c r="I2569" s="3" t="str">
        <f>""</f>
        <v/>
      </c>
    </row>
    <row r="2570" spans="1:9" x14ac:dyDescent="0.3">
      <c r="A2570" s="2">
        <v>2569</v>
      </c>
      <c r="B2570" s="4">
        <v>3.5</v>
      </c>
      <c r="C2570" s="3" t="str">
        <f>"TFC000001648"</f>
        <v>TFC000001648</v>
      </c>
      <c r="D2570" s="3" t="str">
        <f>"F800-20-1828-6(AR 3.5)"</f>
        <v>F800-20-1828-6(AR 3.5)</v>
      </c>
      <c r="E2570" s="3" t="str">
        <f>"Dragon masters. 6, flight of the moon dragon"</f>
        <v>Dragon masters. 6, flight of the moon dragon</v>
      </c>
      <c r="F2570" s="3" t="str">
        <f>"by Tracey West ; illustrated by Graham Howells"</f>
        <v>by Tracey West ; illustrated by Graham Howells</v>
      </c>
      <c r="G2570" s="3" t="str">
        <f>"Scholastic"</f>
        <v>Scholastic</v>
      </c>
      <c r="H2570" s="2" t="str">
        <f>"2016"</f>
        <v>2016</v>
      </c>
      <c r="I2570" s="3" t="str">
        <f>""</f>
        <v/>
      </c>
    </row>
    <row r="2571" spans="1:9" x14ac:dyDescent="0.3">
      <c r="A2571" s="2">
        <v>2570</v>
      </c>
      <c r="B2571" s="4">
        <v>3.5</v>
      </c>
      <c r="C2571" s="3" t="str">
        <f>"TFC000004258"</f>
        <v>TFC000004258</v>
      </c>
      <c r="D2571" s="3" t="str">
        <f>"F800-22-0041-7(AR 3.5)"</f>
        <v>F800-22-0041-7(AR 3.5)</v>
      </c>
      <c r="E2571" s="3" t="str">
        <f>"(The)Critter club. 7, Liz at Marigold Lake"</f>
        <v>(The)Critter club. 7, Liz at Marigold Lake</v>
      </c>
      <c r="F2571" s="3" t="str">
        <f>"by Callie Barkley, illustrated by Marsha Riti"</f>
        <v>by Callie Barkley, illustrated by Marsha Riti</v>
      </c>
      <c r="G2571" s="3" t="str">
        <f>"Little Simon"</f>
        <v>Little Simon</v>
      </c>
      <c r="H2571" s="2" t="str">
        <f>"2013"</f>
        <v>2013</v>
      </c>
      <c r="I2571" s="3" t="str">
        <f>""</f>
        <v/>
      </c>
    </row>
    <row r="2572" spans="1:9" x14ac:dyDescent="0.3">
      <c r="A2572" s="2">
        <v>2571</v>
      </c>
      <c r="B2572" s="4" t="s">
        <v>36</v>
      </c>
      <c r="C2572" s="3" t="str">
        <f>"TFC000004259"</f>
        <v>TFC000004259</v>
      </c>
      <c r="D2572" s="3" t="str">
        <f>"F800-22-0042-8(AR 3.5)"</f>
        <v>F800-22-0042-8(AR 3.5)</v>
      </c>
      <c r="E2572" s="3" t="str">
        <f>"(The)Critter club. 8, Marion strikes a pose"</f>
        <v>(The)Critter club. 8, Marion strikes a pose</v>
      </c>
      <c r="F2572" s="3" t="str">
        <f>"by Callie Varkley, illustrated by Marsha Riti"</f>
        <v>by Callie Varkley, illustrated by Marsha Riti</v>
      </c>
      <c r="G2572" s="3" t="str">
        <f>"Little Simon"</f>
        <v>Little Simon</v>
      </c>
      <c r="H2572" s="2" t="str">
        <f>"2014"</f>
        <v>2014</v>
      </c>
      <c r="I2572" s="3" t="str">
        <f>""</f>
        <v/>
      </c>
    </row>
    <row r="2573" spans="1:9" x14ac:dyDescent="0.3">
      <c r="A2573" s="2">
        <v>2572</v>
      </c>
      <c r="B2573" s="4" t="s">
        <v>36</v>
      </c>
      <c r="C2573" s="3" t="str">
        <f>"TFC000001607"</f>
        <v>TFC000001607</v>
      </c>
      <c r="D2573" s="3" t="str">
        <f>"F800-20-1787-9(AR 3.5)"</f>
        <v>F800-20-1787-9(AR 3.5)</v>
      </c>
      <c r="E2573" s="3" t="str">
        <f>"Eerie elementary. 9, the art show attacks!"</f>
        <v>Eerie elementary. 9, the art show attacks!</v>
      </c>
      <c r="F2573" s="3" t="str">
        <f>"by Jack Chabert ; illustrated by Matt Loveridge ; based on the art of Sam Ricks"</f>
        <v>by Jack Chabert ; illustrated by Matt Loveridge ; based on the art of Sam Ricks</v>
      </c>
      <c r="G2573" s="3" t="str">
        <f>"Scholastic"</f>
        <v>Scholastic</v>
      </c>
      <c r="H2573" s="2" t="str">
        <f>"2018"</f>
        <v>2018</v>
      </c>
      <c r="I2573" s="3" t="str">
        <f>""</f>
        <v/>
      </c>
    </row>
    <row r="2574" spans="1:9" x14ac:dyDescent="0.3">
      <c r="A2574" s="2">
        <v>2573</v>
      </c>
      <c r="B2574" s="4" t="s">
        <v>36</v>
      </c>
      <c r="C2574" s="3" t="str">
        <f>"TFC000004009"</f>
        <v>TFC000004009</v>
      </c>
      <c r="D2574" s="3" t="str">
        <f>"F800-21-0645-9(AR 3.5)"</f>
        <v>F800-21-0645-9(AR 3.5)</v>
      </c>
      <c r="E2574" s="3" t="str">
        <f>"Judy Moody. 9, girl detective"</f>
        <v>Judy Moody. 9, girl detective</v>
      </c>
      <c r="F2574" s="3" t="str">
        <f>"by Megan McDonald, illustrations by Peter H. Reynolds"</f>
        <v>by Megan McDonald, illustrations by Peter H. Reynolds</v>
      </c>
      <c r="G2574" s="3" t="str">
        <f>"Candlewick Press"</f>
        <v>Candlewick Press</v>
      </c>
      <c r="H2574" s="2" t="str">
        <f>"2016"</f>
        <v>2016</v>
      </c>
      <c r="I2574" s="3" t="str">
        <f>""</f>
        <v/>
      </c>
    </row>
    <row r="2575" spans="1:9" x14ac:dyDescent="0.3">
      <c r="A2575" s="2">
        <v>2574</v>
      </c>
      <c r="B2575" s="4" t="s">
        <v>36</v>
      </c>
      <c r="C2575" s="3" t="str">
        <f>"TFC000004718"</f>
        <v>TFC000004718</v>
      </c>
      <c r="D2575" s="3" t="str">
        <f>"F800-22-0519-9(AR 3.5)"</f>
        <v>F800-22-0519-9(AR 3.5)</v>
      </c>
      <c r="E2575" s="3" t="str">
        <f>"(The)117-Storey Treehouse"</f>
        <v>(The)117-Storey Treehouse</v>
      </c>
      <c r="F2575" s="3" t="str">
        <f>"by Andy Griffiths, illustrated by Terry Denton"</f>
        <v>by Andy Griffiths, illustrated by Terry Denton</v>
      </c>
      <c r="G2575" s="3" t="str">
        <f>"Pan Macmillan Australia"</f>
        <v>Pan Macmillan Australia</v>
      </c>
      <c r="H2575" s="2" t="str">
        <f>"2019"</f>
        <v>2019</v>
      </c>
      <c r="I2575" s="3" t="str">
        <f>""</f>
        <v/>
      </c>
    </row>
    <row r="2576" spans="1:9" x14ac:dyDescent="0.3">
      <c r="A2576" s="2">
        <v>2575</v>
      </c>
      <c r="B2576" s="4" t="s">
        <v>37</v>
      </c>
      <c r="C2576" s="3" t="str">
        <f>"TFC000001715"</f>
        <v>TFC000001715</v>
      </c>
      <c r="D2576" s="3" t="str">
        <f>"F800-20-1901-(AR 3.6)"</f>
        <v>F800-20-1901-(AR 3.6)</v>
      </c>
      <c r="E2576" s="3" t="str">
        <f>"(The)phantom of the opera"</f>
        <v>(The)phantom of the opera</v>
      </c>
      <c r="F2576" s="3" t="str">
        <f>"Gaston Leroux ; retold by Kate Knighton ; illustrated by Victor Tavares"</f>
        <v>Gaston Leroux ; retold by Kate Knighton ; illustrated by Victor Tavares</v>
      </c>
      <c r="G2576" s="3" t="str">
        <f>"Usborne"</f>
        <v>Usborne</v>
      </c>
      <c r="H2576" s="2" t="str">
        <f>"2008"</f>
        <v>2008</v>
      </c>
      <c r="I2576" s="2" t="s">
        <v>2</v>
      </c>
    </row>
    <row r="2577" spans="1:9" x14ac:dyDescent="0.3">
      <c r="A2577" s="2">
        <v>2576</v>
      </c>
      <c r="B2577" s="4" t="s">
        <v>37</v>
      </c>
      <c r="C2577" s="3" t="str">
        <f>"TFC000001738"</f>
        <v>TFC000001738</v>
      </c>
      <c r="D2577" s="3" t="str">
        <f>"F800-20-1923-(AR 3.6)"</f>
        <v>F800-20-1923-(AR 3.6)</v>
      </c>
      <c r="E2577" s="3" t="str">
        <f>"Stories of haunted houses"</f>
        <v>Stories of haunted houses</v>
      </c>
      <c r="F2577" s="3" t="str">
        <f>"retold by Russell Punter ; illustrated by Mike Phillips"</f>
        <v>retold by Russell Punter ; illustrated by Mike Phillips</v>
      </c>
      <c r="G2577" s="3" t="str">
        <f>"Usborne"</f>
        <v>Usborne</v>
      </c>
      <c r="H2577" s="2" t="str">
        <f>"2007"</f>
        <v>2007</v>
      </c>
      <c r="I2577" s="2" t="s">
        <v>2</v>
      </c>
    </row>
    <row r="2578" spans="1:9" x14ac:dyDescent="0.3">
      <c r="A2578" s="2">
        <v>2577</v>
      </c>
      <c r="B2578" s="4" t="s">
        <v>37</v>
      </c>
      <c r="C2578" s="3" t="str">
        <f>"TFC000001726"</f>
        <v>TFC000001726</v>
      </c>
      <c r="D2578" s="3" t="str">
        <f>"F800-20-1912-(AR 3.6)"</f>
        <v>F800-20-1912-(AR 3.6)</v>
      </c>
      <c r="E2578" s="3" t="str">
        <f>"(The)railway children"</f>
        <v>(The)railway children</v>
      </c>
      <c r="F2578" s="3" t="str">
        <f>"adapted from E. Nesbit ; adapted by Mary Sebag-Montefiore ; illustrated by Alan Marks"</f>
        <v>adapted from E. Nesbit ; adapted by Mary Sebag-Montefiore ; illustrated by Alan Marks</v>
      </c>
      <c r="G2578" s="3" t="str">
        <f>"Usborne"</f>
        <v>Usborne</v>
      </c>
      <c r="H2578" s="2" t="str">
        <f>"2007"</f>
        <v>2007</v>
      </c>
      <c r="I2578" s="2" t="s">
        <v>2</v>
      </c>
    </row>
    <row r="2579" spans="1:9" x14ac:dyDescent="0.3">
      <c r="A2579" s="2">
        <v>2578</v>
      </c>
      <c r="B2579" s="4" t="s">
        <v>37</v>
      </c>
      <c r="C2579" s="3" t="str">
        <f>"TFC000001676"</f>
        <v>TFC000001676</v>
      </c>
      <c r="D2579" s="3" t="str">
        <f>"F800-20-1862-(AR 3.6)"</f>
        <v>F800-20-1862-(AR 3.6)</v>
      </c>
      <c r="E2579" s="3" t="str">
        <f>"Macbeth"</f>
        <v>Macbeth</v>
      </c>
      <c r="F2579" s="3" t="str">
        <f>"based on the play by William Shakespeare ; retold by Conrad Mason ; illustrated by Christa Unzner"</f>
        <v>based on the play by William Shakespeare ; retold by Conrad Mason ; illustrated by Christa Unzner</v>
      </c>
      <c r="G2579" s="3" t="str">
        <f>"Usborne"</f>
        <v>Usborne</v>
      </c>
      <c r="H2579" s="2" t="str">
        <f>"2008"</f>
        <v>2008</v>
      </c>
      <c r="I2579" s="2" t="s">
        <v>2</v>
      </c>
    </row>
    <row r="2580" spans="1:9" x14ac:dyDescent="0.3">
      <c r="A2580" s="2">
        <v>2579</v>
      </c>
      <c r="B2580" s="4" t="s">
        <v>37</v>
      </c>
      <c r="C2580" s="3" t="str">
        <f>"TFC000003726"</f>
        <v>TFC000003726</v>
      </c>
      <c r="D2580" s="3" t="str">
        <f>"F800-21-0662-(AR 3.6)"</f>
        <v>F800-21-0662-(AR 3.6)</v>
      </c>
      <c r="E2580" s="3" t="str">
        <f>"Eerie elementary. 10, The end of Orson Eerie?"</f>
        <v>Eerie elementary. 10, The end of Orson Eerie?</v>
      </c>
      <c r="F2580" s="3" t="str">
        <f>"by Jack Chabert ; illustrated by Matt Loveridge ; based on the art of Sam Ricks"</f>
        <v>by Jack Chabert ; illustrated by Matt Loveridge ; based on the art of Sam Ricks</v>
      </c>
      <c r="G2580" s="3" t="str">
        <f>"Branches:Scholastic Inc."</f>
        <v>Branches:Scholastic Inc.</v>
      </c>
      <c r="H2580" s="2" t="str">
        <f>"2020"</f>
        <v>2020</v>
      </c>
      <c r="I2580" s="3" t="str">
        <f>""</f>
        <v/>
      </c>
    </row>
    <row r="2581" spans="1:9" x14ac:dyDescent="0.3">
      <c r="A2581" s="2">
        <v>2580</v>
      </c>
      <c r="B2581" s="4" t="s">
        <v>37</v>
      </c>
      <c r="C2581" s="3" t="str">
        <f>"TFC000003517"</f>
        <v>TFC000003517</v>
      </c>
      <c r="D2581" s="3" t="str">
        <f>"F800-21-0660-(AR 3.6)"</f>
        <v>F800-21-0660-(AR 3.6)</v>
      </c>
      <c r="E2581" s="3" t="str">
        <f>"Isadora Moon goes to school"</f>
        <v>Isadora Moon goes to school</v>
      </c>
      <c r="F2581" s="3" t="str">
        <f>"by Harriet Muncaster"</f>
        <v>by Harriet Muncaster</v>
      </c>
      <c r="G2581" s="3" t="str">
        <f>"Random House"</f>
        <v>Random House</v>
      </c>
      <c r="H2581" s="2" t="str">
        <f>"2016"</f>
        <v>2016</v>
      </c>
      <c r="I2581" s="3" t="str">
        <f>""</f>
        <v/>
      </c>
    </row>
    <row r="2582" spans="1:9" x14ac:dyDescent="0.3">
      <c r="A2582" s="2">
        <v>2581</v>
      </c>
      <c r="B2582" s="4" t="s">
        <v>37</v>
      </c>
      <c r="C2582" s="3" t="str">
        <f>"TFC000003380"</f>
        <v>TFC000003380</v>
      </c>
      <c r="D2582" s="3" t="str">
        <f>"F800-21-0657-(AR 3.6)"</f>
        <v>F800-21-0657-(AR 3.6)</v>
      </c>
      <c r="E2582" s="3" t="str">
        <f>"(The)one and only Ivan"</f>
        <v>(The)one and only Ivan</v>
      </c>
      <c r="F2582" s="3" t="str">
        <f>"by Katherine Applegate ; illustrations by Patricia Castelao"</f>
        <v>by Katherine Applegate ; illustrations by Patricia Castelao</v>
      </c>
      <c r="G2582" s="3" t="str">
        <f>"Harper"</f>
        <v>Harper</v>
      </c>
      <c r="H2582" s="2" t="str">
        <f>"2014"</f>
        <v>2014</v>
      </c>
      <c r="I2582" s="3" t="str">
        <f>""</f>
        <v/>
      </c>
    </row>
    <row r="2583" spans="1:9" x14ac:dyDescent="0.3">
      <c r="A2583" s="2">
        <v>2582</v>
      </c>
      <c r="B2583" s="4" t="s">
        <v>37</v>
      </c>
      <c r="C2583" s="3" t="str">
        <f>"TFC000001667"</f>
        <v>TFC000001667</v>
      </c>
      <c r="D2583" s="3" t="str">
        <f>"F400-20-1852-(AR 3.6)"</f>
        <v>F400-20-1852-(AR 3.6)</v>
      </c>
      <c r="E2583" s="3" t="str">
        <f>"What magnets can do"</f>
        <v>What magnets can do</v>
      </c>
      <c r="F2583" s="3" t="str">
        <f>"by Fay Robinson"</f>
        <v>by Fay Robinson</v>
      </c>
      <c r="G2583" s="3" t="str">
        <f>"Children's Press"</f>
        <v>Children's Press</v>
      </c>
      <c r="H2583" s="2" t="str">
        <f>"1995"</f>
        <v>1995</v>
      </c>
      <c r="I2583" s="3" t="str">
        <f>""</f>
        <v/>
      </c>
    </row>
    <row r="2584" spans="1:9" x14ac:dyDescent="0.3">
      <c r="A2584" s="2">
        <v>2583</v>
      </c>
      <c r="B2584" s="4" t="s">
        <v>37</v>
      </c>
      <c r="C2584" s="3" t="str">
        <f>"TFC000001668"</f>
        <v>TFC000001668</v>
      </c>
      <c r="D2584" s="3" t="str">
        <f>"F400-20-1853-(AR 3.6)"</f>
        <v>F400-20-1853-(AR 3.6)</v>
      </c>
      <c r="E2584" s="3" t="str">
        <f>"Sunshine makes the seasons"</f>
        <v>Sunshine makes the seasons</v>
      </c>
      <c r="F2584" s="3" t="str">
        <f>"by Franklyn M. Branley ; illustrated by Michael Rex"</f>
        <v>by Franklyn M. Branley ; illustrated by Michael Rex</v>
      </c>
      <c r="G2584" s="3" t="str">
        <f>"Harper"</f>
        <v>Harper</v>
      </c>
      <c r="H2584" s="2" t="str">
        <f>"2016"</f>
        <v>2016</v>
      </c>
      <c r="I2584" s="3" t="str">
        <f>""</f>
        <v/>
      </c>
    </row>
    <row r="2585" spans="1:9" x14ac:dyDescent="0.3">
      <c r="A2585" s="2">
        <v>2584</v>
      </c>
      <c r="B2585" s="4" t="s">
        <v>37</v>
      </c>
      <c r="C2585" s="3" t="str">
        <f>"TFC000001669"</f>
        <v>TFC000001669</v>
      </c>
      <c r="D2585" s="3" t="str">
        <f>"F400-20-1854-(AR 3.6)"</f>
        <v>F400-20-1854-(AR 3.6)</v>
      </c>
      <c r="E2585" s="3" t="str">
        <f>"Pepper's Journal : a Kitten's first year"</f>
        <v>Pepper's Journal : a Kitten's first year</v>
      </c>
      <c r="F2585" s="3" t="str">
        <f>"by Stuart J. Murphy ; illustrated by Marsha Winborn"</f>
        <v>by Stuart J. Murphy ; illustrated by Marsha Winborn</v>
      </c>
      <c r="G2585" s="3" t="str">
        <f>"HarperCollins Publishers"</f>
        <v>HarperCollins Publishers</v>
      </c>
      <c r="H2585" s="2" t="str">
        <f>"2000"</f>
        <v>2000</v>
      </c>
      <c r="I2585" s="3" t="str">
        <f>""</f>
        <v/>
      </c>
    </row>
    <row r="2586" spans="1:9" x14ac:dyDescent="0.3">
      <c r="A2586" s="2">
        <v>2585</v>
      </c>
      <c r="B2586" s="4" t="s">
        <v>37</v>
      </c>
      <c r="C2586" s="3" t="str">
        <f>"TFC000001670"</f>
        <v>TFC000001670</v>
      </c>
      <c r="D2586" s="3" t="str">
        <f>"F400-20-1855-(AR 3.6)"</f>
        <v>F400-20-1855-(AR 3.6)</v>
      </c>
      <c r="E2586" s="3" t="str">
        <f>"After the dinosaurs : mammoths and fossil mannals"</f>
        <v>After the dinosaurs : mammoths and fossil mannals</v>
      </c>
      <c r="F2586" s="3" t="str">
        <f>"written by Charlotte Lewis Brown ; pictures by Phil Wilson"</f>
        <v>written by Charlotte Lewis Brown ; pictures by Phil Wilson</v>
      </c>
      <c r="G2586" s="3" t="str">
        <f>"HarperCollins Publihers"</f>
        <v>HarperCollins Publihers</v>
      </c>
      <c r="H2586" s="2" t="str">
        <f>"2006"</f>
        <v>2006</v>
      </c>
      <c r="I2586" s="3" t="str">
        <f>""</f>
        <v/>
      </c>
    </row>
    <row r="2587" spans="1:9" x14ac:dyDescent="0.3">
      <c r="A2587" s="2">
        <v>2586</v>
      </c>
      <c r="B2587" s="4" t="s">
        <v>37</v>
      </c>
      <c r="C2587" s="3" t="str">
        <f>"TFC000001671"</f>
        <v>TFC000001671</v>
      </c>
      <c r="D2587" s="3" t="str">
        <f>"F500-20-1857-(AR 3.6)"</f>
        <v>F500-20-1857-(AR 3.6)</v>
      </c>
      <c r="E2587" s="3" t="str">
        <f>"Chickens aren't the only ones"</f>
        <v>Chickens aren't the only ones</v>
      </c>
      <c r="F2587" s="3" t="str">
        <f>"written and illustrated by Ruth Heller"</f>
        <v>written and illustrated by Ruth Heller</v>
      </c>
      <c r="G2587" s="3" t="str">
        <f>"PaperStar"</f>
        <v>PaperStar</v>
      </c>
      <c r="H2587" s="2" t="str">
        <f>"2014"</f>
        <v>2014</v>
      </c>
      <c r="I2587" s="3" t="str">
        <f>""</f>
        <v/>
      </c>
    </row>
    <row r="2588" spans="1:9" x14ac:dyDescent="0.3">
      <c r="A2588" s="2">
        <v>2587</v>
      </c>
      <c r="B2588" s="4" t="s">
        <v>37</v>
      </c>
      <c r="C2588" s="3" t="str">
        <f>"TFC000001672"</f>
        <v>TFC000001672</v>
      </c>
      <c r="D2588" s="3" t="str">
        <f>"F600-20-1858-(AR 3.6)"</f>
        <v>F600-20-1858-(AR 3.6)</v>
      </c>
      <c r="E2588" s="3" t="str">
        <f>"Pablo Picasso : breaking all the rules"</f>
        <v>Pablo Picasso : breaking all the rules</v>
      </c>
      <c r="F2588" s="3" t="str">
        <f>"by True Kelley, Simon Packard"</f>
        <v>by True Kelley, Simon Packard</v>
      </c>
      <c r="G2588" s="3" t="str">
        <f>"Grosset &amp; Dunlap"</f>
        <v>Grosset &amp; Dunlap</v>
      </c>
      <c r="H2588" s="2" t="str">
        <f>"2002"</f>
        <v>2002</v>
      </c>
      <c r="I2588" s="3" t="str">
        <f>""</f>
        <v/>
      </c>
    </row>
    <row r="2589" spans="1:9" x14ac:dyDescent="0.3">
      <c r="A2589" s="2">
        <v>2588</v>
      </c>
      <c r="B2589" s="4" t="s">
        <v>37</v>
      </c>
      <c r="C2589" s="3" t="str">
        <f>"TFC000001673"</f>
        <v>TFC000001673</v>
      </c>
      <c r="D2589" s="3" t="str">
        <f>"F600-20-1859-(AR 3.6)"</f>
        <v>F600-20-1859-(AR 3.6)</v>
      </c>
      <c r="E2589" s="3" t="str">
        <f>"(The)great houdini : world-famous magician and escape artist"</f>
        <v>(The)great houdini : world-famous magician and escape artist</v>
      </c>
      <c r="F2589" s="3" t="str">
        <f>"by Monica Kulling ; illustrated by Anne Reas"</f>
        <v>by Monica Kulling ; illustrated by Anne Reas</v>
      </c>
      <c r="G2589" s="3" t="str">
        <f>"Random House"</f>
        <v>Random House</v>
      </c>
      <c r="H2589" s="2" t="str">
        <f>"2003"</f>
        <v>2003</v>
      </c>
      <c r="I2589" s="3" t="str">
        <f>""</f>
        <v/>
      </c>
    </row>
    <row r="2590" spans="1:9" x14ac:dyDescent="0.3">
      <c r="A2590" s="2">
        <v>2589</v>
      </c>
      <c r="B2590" s="4" t="s">
        <v>37</v>
      </c>
      <c r="C2590" s="3" t="str">
        <f>"TFC000001674"</f>
        <v>TFC000001674</v>
      </c>
      <c r="D2590" s="3" t="str">
        <f>"F800-20-1860-(AR 3.6)"</f>
        <v>F800-20-1860-(AR 3.6)</v>
      </c>
      <c r="E2590" s="3" t="str">
        <f>"Harlem : a poem"</f>
        <v>Harlem : a poem</v>
      </c>
      <c r="F2590" s="3" t="str">
        <f>"a poem by Walter Dean Myers ; pictures by Christopher Myers"</f>
        <v>a poem by Walter Dean Myers ; pictures by Christopher Myers</v>
      </c>
      <c r="G2590" s="3" t="str">
        <f>"Scholastic Press"</f>
        <v>Scholastic Press</v>
      </c>
      <c r="H2590" s="2" t="str">
        <f>"1997"</f>
        <v>1997</v>
      </c>
      <c r="I2590" s="3" t="str">
        <f>""</f>
        <v/>
      </c>
    </row>
    <row r="2591" spans="1:9" x14ac:dyDescent="0.3">
      <c r="A2591" s="2">
        <v>2590</v>
      </c>
      <c r="B2591" s="4" t="s">
        <v>37</v>
      </c>
      <c r="C2591" s="3" t="str">
        <f>"TFC000001677"</f>
        <v>TFC000001677</v>
      </c>
      <c r="D2591" s="3" t="str">
        <f>"F800-20-1863-(AR 3.6)"</f>
        <v>F800-20-1863-(AR 3.6)</v>
      </c>
      <c r="E2591" s="3" t="str">
        <f>"Alice in Wonderland &amp; Through the looking-glass"</f>
        <v>Alice in Wonderland &amp; Through the looking-glass</v>
      </c>
      <c r="F2591" s="3" t="str">
        <f>"originals by Lewis Carroll ; retold by Eva Mason ; illustrated by Dan Andreasen"</f>
        <v>originals by Lewis Carroll ; retold by Eva Mason ; illustrated by Dan Andreasen</v>
      </c>
      <c r="G2591" s="3" t="str">
        <f>"Sterling"</f>
        <v>Sterling</v>
      </c>
      <c r="H2591" s="2" t="str">
        <f>"2009"</f>
        <v>2009</v>
      </c>
      <c r="I2591" s="3" t="str">
        <f>""</f>
        <v/>
      </c>
    </row>
    <row r="2592" spans="1:9" x14ac:dyDescent="0.3">
      <c r="A2592" s="2">
        <v>2591</v>
      </c>
      <c r="B2592" s="4" t="s">
        <v>37</v>
      </c>
      <c r="C2592" s="3" t="str">
        <f>"TFC000001678"</f>
        <v>TFC000001678</v>
      </c>
      <c r="D2592" s="3" t="str">
        <f>"F800-20-1864-(AR 3.6)"</f>
        <v>F800-20-1864-(AR 3.6)</v>
      </c>
      <c r="E2592" s="3" t="str">
        <f>"Madeline and the bad hat"</f>
        <v>Madeline and the bad hat</v>
      </c>
      <c r="F2592" s="3" t="str">
        <f>"Ludwig Bemelmans"</f>
        <v>Ludwig Bemelmans</v>
      </c>
      <c r="G2592" s="3" t="str">
        <f>"Puffin Books"</f>
        <v>Puffin Books</v>
      </c>
      <c r="H2592" s="2" t="str">
        <f>"2000"</f>
        <v>2000</v>
      </c>
      <c r="I2592" s="3" t="str">
        <f>""</f>
        <v/>
      </c>
    </row>
    <row r="2593" spans="1:9" x14ac:dyDescent="0.3">
      <c r="A2593" s="2">
        <v>2592</v>
      </c>
      <c r="B2593" s="4" t="s">
        <v>37</v>
      </c>
      <c r="C2593" s="3" t="str">
        <f>"TFC000001679"</f>
        <v>TFC000001679</v>
      </c>
      <c r="D2593" s="3" t="str">
        <f>"F800-20-1865-(AR 3.6)"</f>
        <v>F800-20-1865-(AR 3.6)</v>
      </c>
      <c r="E2593" s="3" t="str">
        <f>"(The)berenstain bears lose a friend"</f>
        <v>(The)berenstain bears lose a friend</v>
      </c>
      <c r="F2593" s="3" t="str">
        <f>"by Stan Berenstain ; Jan Berenstain ; Mike Berenstain"</f>
        <v>by Stan Berenstain ; Jan Berenstain ; Mike Berenstain</v>
      </c>
      <c r="G2593" s="3" t="str">
        <f>"HarperFestival"</f>
        <v>HarperFestival</v>
      </c>
      <c r="H2593" s="2" t="str">
        <f>"2007"</f>
        <v>2007</v>
      </c>
      <c r="I2593" s="3" t="str">
        <f>""</f>
        <v/>
      </c>
    </row>
    <row r="2594" spans="1:9" x14ac:dyDescent="0.3">
      <c r="A2594" s="2">
        <v>2593</v>
      </c>
      <c r="B2594" s="4" t="s">
        <v>37</v>
      </c>
      <c r="C2594" s="3" t="str">
        <f>"TFC000001680"</f>
        <v>TFC000001680</v>
      </c>
      <c r="D2594" s="3" t="str">
        <f>"F800-20-1866-(AR 3.6)"</f>
        <v>F800-20-1866-(AR 3.6)</v>
      </c>
      <c r="E2594" s="3" t="str">
        <f>"Pancakes, pancakes!"</f>
        <v>Pancakes, pancakes!</v>
      </c>
      <c r="F2594" s="3" t="str">
        <f>"by Eric Carle"</f>
        <v>by Eric Carle</v>
      </c>
      <c r="G2594" s="3" t="str">
        <f>"Simon Spotlight"</f>
        <v>Simon Spotlight</v>
      </c>
      <c r="H2594" s="2" t="str">
        <f>"2013"</f>
        <v>2013</v>
      </c>
      <c r="I2594" s="3" t="str">
        <f>""</f>
        <v/>
      </c>
    </row>
    <row r="2595" spans="1:9" x14ac:dyDescent="0.3">
      <c r="A2595" s="2">
        <v>2594</v>
      </c>
      <c r="B2595" s="4" t="s">
        <v>37</v>
      </c>
      <c r="C2595" s="3" t="str">
        <f>"TFC000001681"</f>
        <v>TFC000001681</v>
      </c>
      <c r="D2595" s="3" t="str">
        <f>"F800-20-1867-(AR 3.6)"</f>
        <v>F800-20-1867-(AR 3.6)</v>
      </c>
      <c r="E2595" s="3" t="str">
        <f>"Princess smartypants"</f>
        <v>Princess smartypants</v>
      </c>
      <c r="F2595" s="3" t="str">
        <f>"by Babette Cole"</f>
        <v>by Babette Cole</v>
      </c>
      <c r="G2595" s="3" t="str">
        <f>"Penguin Young Readers Group."</f>
        <v>Penguin Young Readers Group.</v>
      </c>
      <c r="H2595" s="2" t="str">
        <f>"1986"</f>
        <v>1986</v>
      </c>
      <c r="I2595" s="3" t="str">
        <f>""</f>
        <v/>
      </c>
    </row>
    <row r="2596" spans="1:9" x14ac:dyDescent="0.3">
      <c r="A2596" s="2">
        <v>2595</v>
      </c>
      <c r="B2596" s="4" t="s">
        <v>37</v>
      </c>
      <c r="C2596" s="3" t="str">
        <f>"TFC000001683"</f>
        <v>TFC000001683</v>
      </c>
      <c r="D2596" s="3" t="str">
        <f>"F800-20-1869-(AR 3.6)"</f>
        <v>F800-20-1869-(AR 3.6)</v>
      </c>
      <c r="E2596" s="3" t="str">
        <f>"(The)three bears"</f>
        <v>(The)three bears</v>
      </c>
      <c r="F2596" s="3" t="str">
        <f>"by Paul Galdone"</f>
        <v>by Paul Galdone</v>
      </c>
      <c r="G2596" s="3" t="str">
        <f>"Clarion Books"</f>
        <v>Clarion Books</v>
      </c>
      <c r="H2596" s="2" t="str">
        <f>"2000"</f>
        <v>2000</v>
      </c>
      <c r="I2596" s="3" t="str">
        <f>""</f>
        <v/>
      </c>
    </row>
    <row r="2597" spans="1:9" x14ac:dyDescent="0.3">
      <c r="A2597" s="2">
        <v>2596</v>
      </c>
      <c r="B2597" s="4" t="s">
        <v>37</v>
      </c>
      <c r="C2597" s="3" t="str">
        <f>"TFC000001685"</f>
        <v>TFC000001685</v>
      </c>
      <c r="D2597" s="3" t="str">
        <f>"F800-20-1871-(AR 3.6)"</f>
        <v>F800-20-1871-(AR 3.6)</v>
      </c>
      <c r="E2597" s="3" t="str">
        <f>"Ming Lo moves the mountain"</f>
        <v>Ming Lo moves the mountain</v>
      </c>
      <c r="F2597" s="3" t="str">
        <f>"written and illustrated by Arnold Lobel"</f>
        <v>written and illustrated by Arnold Lobel</v>
      </c>
      <c r="G2597" s="3" t="str">
        <f>"Greenwillow Books"</f>
        <v>Greenwillow Books</v>
      </c>
      <c r="H2597" s="2" t="str">
        <f>"1982"</f>
        <v>1982</v>
      </c>
      <c r="I2597" s="3" t="str">
        <f>""</f>
        <v/>
      </c>
    </row>
    <row r="2598" spans="1:9" x14ac:dyDescent="0.3">
      <c r="A2598" s="2">
        <v>2597</v>
      </c>
      <c r="B2598" s="4" t="s">
        <v>37</v>
      </c>
      <c r="C2598" s="3" t="str">
        <f>"TFC000001686"</f>
        <v>TFC000001686</v>
      </c>
      <c r="D2598" s="3" t="str">
        <f>"F800-20-1872-(AR 3.6)"</f>
        <v>F800-20-1872-(AR 3.6)</v>
      </c>
      <c r="E2598" s="3" t="str">
        <f>"Mirette on the high wire"</f>
        <v>Mirette on the high wire</v>
      </c>
      <c r="F2598" s="3" t="str">
        <f>"Emily Arnold McCully"</f>
        <v>Emily Arnold McCully</v>
      </c>
      <c r="G2598" s="3" t="str">
        <f>"G.P. Putnam's sons"</f>
        <v>G.P. Putnam's sons</v>
      </c>
      <c r="H2598" s="2" t="str">
        <f>"1992"</f>
        <v>1992</v>
      </c>
      <c r="I2598" s="3" t="str">
        <f>""</f>
        <v/>
      </c>
    </row>
    <row r="2599" spans="1:9" x14ac:dyDescent="0.3">
      <c r="A2599" s="2">
        <v>2598</v>
      </c>
      <c r="B2599" s="4" t="s">
        <v>37</v>
      </c>
      <c r="C2599" s="3" t="str">
        <f>"TFC000001687"</f>
        <v>TFC000001687</v>
      </c>
      <c r="D2599" s="3" t="str">
        <f>"F800-20-1873-(AR 3.6)"</f>
        <v>F800-20-1873-(AR 3.6)</v>
      </c>
      <c r="E2599" s="3" t="str">
        <f>"Sam, bangs, and moonshine"</f>
        <v>Sam, bangs, and moonshine</v>
      </c>
      <c r="F2599" s="3" t="str">
        <f>"written and illustrated by Evaline Ness"</f>
        <v>written and illustrated by Evaline Ness</v>
      </c>
      <c r="G2599" s="3" t="str">
        <f>"Henry Holt and Company"</f>
        <v>Henry Holt and Company</v>
      </c>
      <c r="H2599" s="2" t="str">
        <f>"2012"</f>
        <v>2012</v>
      </c>
      <c r="I2599" s="3" t="str">
        <f>""</f>
        <v/>
      </c>
    </row>
    <row r="2600" spans="1:9" x14ac:dyDescent="0.3">
      <c r="A2600" s="2">
        <v>2599</v>
      </c>
      <c r="B2600" s="4" t="s">
        <v>37</v>
      </c>
      <c r="C2600" s="3" t="str">
        <f>"TFC000001688"</f>
        <v>TFC000001688</v>
      </c>
      <c r="D2600" s="3" t="str">
        <f>"F800-20-1874-(AR 3.6)"</f>
        <v>F800-20-1874-(AR 3.6)</v>
      </c>
      <c r="E2600" s="3" t="str">
        <f>"Outside over there"</f>
        <v>Outside over there</v>
      </c>
      <c r="F2600" s="3" t="str">
        <f>"Maurice Sendak"</f>
        <v>Maurice Sendak</v>
      </c>
      <c r="G2600" s="3" t="str">
        <f>"HarperCollins Publishers"</f>
        <v>HarperCollins Publishers</v>
      </c>
      <c r="H2600" s="2" t="str">
        <f>"1981"</f>
        <v>1981</v>
      </c>
      <c r="I2600" s="3" t="str">
        <f>""</f>
        <v/>
      </c>
    </row>
    <row r="2601" spans="1:9" x14ac:dyDescent="0.3">
      <c r="A2601" s="2">
        <v>2600</v>
      </c>
      <c r="B2601" s="4" t="s">
        <v>37</v>
      </c>
      <c r="C2601" s="3" t="str">
        <f>"TFC000001689"</f>
        <v>TFC000001689</v>
      </c>
      <c r="D2601" s="3" t="str">
        <f>"F800-20-1875-(AR 3.6)"</f>
        <v>F800-20-1875-(AR 3.6)</v>
      </c>
      <c r="E2601" s="3" t="str">
        <f>"Chato's kitchen"</f>
        <v>Chato's kitchen</v>
      </c>
      <c r="F2601" s="3" t="str">
        <f>"by Gary Soto ; illustrated by Susan Guevara"</f>
        <v>by Gary Soto ; illustrated by Susan Guevara</v>
      </c>
      <c r="G2601" s="3" t="str">
        <f>"PaperStar"</f>
        <v>PaperStar</v>
      </c>
      <c r="H2601" s="2" t="str">
        <f>"1997"</f>
        <v>1997</v>
      </c>
      <c r="I2601" s="3" t="str">
        <f>""</f>
        <v/>
      </c>
    </row>
    <row r="2602" spans="1:9" x14ac:dyDescent="0.3">
      <c r="A2602" s="2">
        <v>2601</v>
      </c>
      <c r="B2602" s="4" t="s">
        <v>37</v>
      </c>
      <c r="C2602" s="3" t="str">
        <f>"TFC000001693"</f>
        <v>TFC000001693</v>
      </c>
      <c r="D2602" s="3" t="str">
        <f>"F800-20-1879-(AR 3.6)"</f>
        <v>F800-20-1879-(AR 3.6)</v>
      </c>
      <c r="E2602" s="3" t="str">
        <f>"Vet volunteer. 1, Fight for life"</f>
        <v>Vet volunteer. 1, Fight for life</v>
      </c>
      <c r="F2602" s="3" t="str">
        <f>"by Laurie Halse Anderson"</f>
        <v>by Laurie Halse Anderson</v>
      </c>
      <c r="G2602" s="3" t="str">
        <f>"Puffin Books"</f>
        <v>Puffin Books</v>
      </c>
      <c r="H2602" s="2" t="str">
        <f>"2007"</f>
        <v>2007</v>
      </c>
      <c r="I2602" s="3" t="str">
        <f>""</f>
        <v/>
      </c>
    </row>
    <row r="2603" spans="1:9" x14ac:dyDescent="0.3">
      <c r="A2603" s="2">
        <v>2602</v>
      </c>
      <c r="B2603" s="4" t="s">
        <v>37</v>
      </c>
      <c r="C2603" s="3" t="str">
        <f>"TFC000001694"</f>
        <v>TFC000001694</v>
      </c>
      <c r="D2603" s="3" t="str">
        <f>"F800-20-1880-(AR 3.6)"</f>
        <v>F800-20-1880-(AR 3.6)</v>
      </c>
      <c r="E2603" s="3" t="str">
        <f>"Charlotte the scientist finds a cure"</f>
        <v>Charlotte the scientist finds a cure</v>
      </c>
      <c r="F2603" s="3" t="str">
        <f>"by Camille Andros ; illustrated by Brianne Farley"</f>
        <v>by Camille Andros ; illustrated by Brianne Farley</v>
      </c>
      <c r="G2603" s="3" t="str">
        <f>"Clarion Books"</f>
        <v>Clarion Books</v>
      </c>
      <c r="H2603" s="2" t="str">
        <f>"2019"</f>
        <v>2019</v>
      </c>
      <c r="I2603" s="3" t="str">
        <f>""</f>
        <v/>
      </c>
    </row>
    <row r="2604" spans="1:9" x14ac:dyDescent="0.3">
      <c r="A2604" s="2">
        <v>2603</v>
      </c>
      <c r="B2604" s="4" t="s">
        <v>37</v>
      </c>
      <c r="C2604" s="3" t="str">
        <f>"TFC000001695"</f>
        <v>TFC000001695</v>
      </c>
      <c r="D2604" s="3" t="str">
        <f>"F800-20-1881-(AR 3.6)"</f>
        <v>F800-20-1881-(AR 3.6)</v>
      </c>
      <c r="E2604" s="3" t="str">
        <f>"(An)orange in January"</f>
        <v>(An)orange in January</v>
      </c>
      <c r="F2604" s="3" t="str">
        <f>"Dianna Hutts Aston ; illustrated by Julie Maren"</f>
        <v>Dianna Hutts Aston ; illustrated by Julie Maren</v>
      </c>
      <c r="G2604" s="3" t="str">
        <f>"Dial Books for Young Readers"</f>
        <v>Dial Books for Young Readers</v>
      </c>
      <c r="H2604" s="2" t="str">
        <f>"2007"</f>
        <v>2007</v>
      </c>
      <c r="I2604" s="3" t="str">
        <f>""</f>
        <v/>
      </c>
    </row>
    <row r="2605" spans="1:9" x14ac:dyDescent="0.3">
      <c r="A2605" s="2">
        <v>2604</v>
      </c>
      <c r="B2605" s="4" t="s">
        <v>37</v>
      </c>
      <c r="C2605" s="3" t="str">
        <f>"TFC000001696"</f>
        <v>TFC000001696</v>
      </c>
      <c r="D2605" s="3" t="str">
        <f>"F800-20-1882-(AR 3.6)"</f>
        <v>F800-20-1882-(AR 3.6)</v>
      </c>
      <c r="E2605" s="3" t="str">
        <f>"(The)paper crane"</f>
        <v>(The)paper crane</v>
      </c>
      <c r="F2605" s="3" t="str">
        <f>"Molly Bang"</f>
        <v>Molly Bang</v>
      </c>
      <c r="G2605" s="3" t="str">
        <f>"Greenwillow Books"</f>
        <v>Greenwillow Books</v>
      </c>
      <c r="H2605" s="2" t="str">
        <f>"1985"</f>
        <v>1985</v>
      </c>
      <c r="I2605" s="3" t="str">
        <f>""</f>
        <v/>
      </c>
    </row>
    <row r="2606" spans="1:9" x14ac:dyDescent="0.3">
      <c r="A2606" s="2">
        <v>2605</v>
      </c>
      <c r="B2606" s="4" t="s">
        <v>37</v>
      </c>
      <c r="C2606" s="3" t="str">
        <f>"TFC000001698"</f>
        <v>TFC000001698</v>
      </c>
      <c r="D2606" s="3" t="str">
        <f>"F800-20-1884-(AR 3.6)"</f>
        <v>F800-20-1884-(AR 3.6)</v>
      </c>
      <c r="E2606" s="3" t="str">
        <f>"Ivy + Bean,. 2, and the ghost that had to go"</f>
        <v>Ivy + Bean,. 2, and the ghost that had to go</v>
      </c>
      <c r="F2606" s="3" t="str">
        <f>"written by Annie Barrows ; illustrated by Sophie Blackall"</f>
        <v>written by Annie Barrows ; illustrated by Sophie Blackall</v>
      </c>
      <c r="G2606" s="3" t="str">
        <f>"Chronicle Books"</f>
        <v>Chronicle Books</v>
      </c>
      <c r="H2606" s="2" t="str">
        <f>"2006"</f>
        <v>2006</v>
      </c>
      <c r="I2606" s="3" t="str">
        <f>""</f>
        <v/>
      </c>
    </row>
    <row r="2607" spans="1:9" x14ac:dyDescent="0.3">
      <c r="A2607" s="2">
        <v>2606</v>
      </c>
      <c r="B2607" s="4" t="s">
        <v>37</v>
      </c>
      <c r="C2607" s="3" t="str">
        <f>"TFC000001700"</f>
        <v>TFC000001700</v>
      </c>
      <c r="D2607" s="3" t="str">
        <f>"F800-20-1886-(AR 3.6)"</f>
        <v>F800-20-1886-(AR 3.6)</v>
      </c>
      <c r="E2607" s="3" t="str">
        <f>"Pinduli"</f>
        <v>Pinduli</v>
      </c>
      <c r="F2607" s="3" t="str">
        <f>"Janell Cannon"</f>
        <v>Janell Cannon</v>
      </c>
      <c r="G2607" s="3" t="str">
        <f>"Harcourt"</f>
        <v>Harcourt</v>
      </c>
      <c r="H2607" s="2" t="str">
        <f>"2004"</f>
        <v>2004</v>
      </c>
      <c r="I2607" s="3" t="str">
        <f>""</f>
        <v/>
      </c>
    </row>
    <row r="2608" spans="1:9" x14ac:dyDescent="0.3">
      <c r="A2608" s="2">
        <v>2607</v>
      </c>
      <c r="B2608" s="4" t="s">
        <v>37</v>
      </c>
      <c r="C2608" s="3" t="str">
        <f>"TFC000001701"</f>
        <v>TFC000001701</v>
      </c>
      <c r="D2608" s="3" t="str">
        <f>"F800-20-1887-(AR 3.6)"</f>
        <v>F800-20-1887-(AR 3.6)</v>
      </c>
      <c r="E2608" s="3" t="str">
        <f>"Eerie elementary. 4, the science fair is freaky!"</f>
        <v>Eerie elementary. 4, the science fair is freaky!</v>
      </c>
      <c r="F2608" s="3" t="str">
        <f>"by Jack Chabert ; illustrated by Sam Ricks"</f>
        <v>by Jack Chabert ; illustrated by Sam Ricks</v>
      </c>
      <c r="G2608" s="3" t="str">
        <f>"Scholastic"</f>
        <v>Scholastic</v>
      </c>
      <c r="H2608" s="2" t="str">
        <f>"2016"</f>
        <v>2016</v>
      </c>
      <c r="I2608" s="3" t="str">
        <f>""</f>
        <v/>
      </c>
    </row>
    <row r="2609" spans="1:9" x14ac:dyDescent="0.3">
      <c r="A2609" s="2">
        <v>2608</v>
      </c>
      <c r="B2609" s="4" t="s">
        <v>37</v>
      </c>
      <c r="C2609" s="3" t="str">
        <f>"TFC000001702"</f>
        <v>TFC000001702</v>
      </c>
      <c r="D2609" s="3" t="str">
        <f>"F800-20-1888-(AR 3.6)"</f>
        <v>F800-20-1888-(AR 3.6)</v>
      </c>
      <c r="E2609" s="3" t="str">
        <f>"(The)elves and the shoemaker"</f>
        <v>(The)elves and the shoemaker</v>
      </c>
      <c r="F2609" s="3" t="str">
        <f>"retold by Katie Daynes ; illustrated by Desideria Guicciardini"</f>
        <v>retold by Katie Daynes ; illustrated by Desideria Guicciardini</v>
      </c>
      <c r="G2609" s="3" t="str">
        <f>"Usborne"</f>
        <v>Usborne</v>
      </c>
      <c r="H2609" s="2" t="str">
        <f>"2004"</f>
        <v>2004</v>
      </c>
      <c r="I2609" s="3" t="str">
        <f>""</f>
        <v/>
      </c>
    </row>
    <row r="2610" spans="1:9" x14ac:dyDescent="0.3">
      <c r="A2610" s="2">
        <v>2609</v>
      </c>
      <c r="B2610" s="4" t="s">
        <v>37</v>
      </c>
      <c r="C2610" s="3" t="str">
        <f>"TFC000001703"</f>
        <v>TFC000001703</v>
      </c>
      <c r="D2610" s="3" t="str">
        <f>"F800-20-1889-(AR 3.6)"</f>
        <v>F800-20-1889-(AR 3.6)</v>
      </c>
      <c r="E2610" s="3" t="str">
        <f>"Trouble at the arcade"</f>
        <v>Trouble at the arcade</v>
      </c>
      <c r="F2610" s="3" t="str">
        <f>"by Franklin W. Dixon ; illustrated by Scott Burroughs"</f>
        <v>by Franklin W. Dixon ; illustrated by Scott Burroughs</v>
      </c>
      <c r="G2610" s="3" t="str">
        <f>"Aladdin"</f>
        <v>Aladdin</v>
      </c>
      <c r="H2610" s="2" t="str">
        <f>"2010"</f>
        <v>2010</v>
      </c>
      <c r="I2610" s="3" t="str">
        <f>""</f>
        <v/>
      </c>
    </row>
    <row r="2611" spans="1:9" x14ac:dyDescent="0.3">
      <c r="A2611" s="2">
        <v>2610</v>
      </c>
      <c r="B2611" s="4" t="s">
        <v>37</v>
      </c>
      <c r="C2611" s="3" t="str">
        <f>"TFC000001704"</f>
        <v>TFC000001704</v>
      </c>
      <c r="D2611" s="3" t="str">
        <f>"F800-20-1890-(AR 3.6)"</f>
        <v>F800-20-1890-(AR 3.6)</v>
      </c>
      <c r="E2611" s="3" t="str">
        <f>"(A)taste of colored water"</f>
        <v>(A)taste of colored water</v>
      </c>
      <c r="F2611" s="3" t="str">
        <f>"Matt Faulkner"</f>
        <v>Matt Faulkner</v>
      </c>
      <c r="G2611" s="3" t="str">
        <f>"Simon ＆ Schuster"</f>
        <v>Simon ＆ Schuster</v>
      </c>
      <c r="H2611" s="2" t="str">
        <f>"2008"</f>
        <v>2008</v>
      </c>
      <c r="I2611" s="3" t="str">
        <f>""</f>
        <v/>
      </c>
    </row>
    <row r="2612" spans="1:9" x14ac:dyDescent="0.3">
      <c r="A2612" s="2">
        <v>2611</v>
      </c>
      <c r="B2612" s="4" t="s">
        <v>37</v>
      </c>
      <c r="C2612" s="3" t="str">
        <f>"TFC000001705"</f>
        <v>TFC000001705</v>
      </c>
      <c r="D2612" s="3" t="str">
        <f>"F800-20-1891-(AR 3.6)"</f>
        <v>F800-20-1891-(AR 3.6)</v>
      </c>
      <c r="E2612" s="3" t="str">
        <f>"(The)post office book : mail and how It moves"</f>
        <v>(The)post office book : mail and how It moves</v>
      </c>
      <c r="F2612" s="3" t="str">
        <f>"by Gail Gibbons"</f>
        <v>by Gail Gibbons</v>
      </c>
      <c r="G2612" s="3" t="str">
        <f>"HarperCollins Publishers"</f>
        <v>HarperCollins Publishers</v>
      </c>
      <c r="H2612" s="2" t="str">
        <f>"1982"</f>
        <v>1982</v>
      </c>
      <c r="I2612" s="3" t="str">
        <f>""</f>
        <v/>
      </c>
    </row>
    <row r="2613" spans="1:9" x14ac:dyDescent="0.3">
      <c r="A2613" s="2">
        <v>2612</v>
      </c>
      <c r="B2613" s="4" t="s">
        <v>37</v>
      </c>
      <c r="C2613" s="3" t="str">
        <f>"TFC000001712"</f>
        <v>TFC000001712</v>
      </c>
      <c r="D2613" s="3" t="str">
        <f>"F800-20-1898-(AR 3.6)"</f>
        <v>F800-20-1898-(AR 3.6)</v>
      </c>
      <c r="E2613" s="3" t="str">
        <f>"(The)twelve dancing princesses"</f>
        <v>(The)twelve dancing princesses</v>
      </c>
      <c r="F2613" s="3" t="str">
        <f>"retold by Emma Helbrough ; illustrated by Anna Luraschi"</f>
        <v>retold by Emma Helbrough ; illustrated by Anna Luraschi</v>
      </c>
      <c r="G2613" s="3" t="str">
        <f>"Usborne"</f>
        <v>Usborne</v>
      </c>
      <c r="H2613" s="2" t="str">
        <f>"2009"</f>
        <v>2009</v>
      </c>
      <c r="I2613" s="3" t="str">
        <f>""</f>
        <v/>
      </c>
    </row>
    <row r="2614" spans="1:9" x14ac:dyDescent="0.3">
      <c r="A2614" s="2">
        <v>2613</v>
      </c>
      <c r="B2614" s="4" t="s">
        <v>37</v>
      </c>
      <c r="C2614" s="3" t="str">
        <f>"TFC000001713"</f>
        <v>TFC000001713</v>
      </c>
      <c r="D2614" s="3" t="str">
        <f>"F800-20-1899-(AR 3.6)"</f>
        <v>F800-20-1899-(AR 3.6)</v>
      </c>
      <c r="E2614" s="3" t="str">
        <f>"(A)fine dessert : four centuries, four families, one delicious treat"</f>
        <v>(A)fine dessert : four centuries, four families, one delicious treat</v>
      </c>
      <c r="F2614" s="3" t="str">
        <f>"text by Emily Jenkins ; illustrations by Sophie Blackall"</f>
        <v>text by Emily Jenkins ; illustrations by Sophie Blackall</v>
      </c>
      <c r="G2614" s="3" t="str">
        <f>"Schwartz &amp; Wade Book"</f>
        <v>Schwartz &amp; Wade Book</v>
      </c>
      <c r="H2614" s="2" t="str">
        <f>"2015"</f>
        <v>2015</v>
      </c>
      <c r="I2614" s="3" t="str">
        <f>""</f>
        <v/>
      </c>
    </row>
    <row r="2615" spans="1:9" x14ac:dyDescent="0.3">
      <c r="A2615" s="2">
        <v>2614</v>
      </c>
      <c r="B2615" s="4" t="s">
        <v>37</v>
      </c>
      <c r="C2615" s="3" t="str">
        <f>"TFC000001714"</f>
        <v>TFC000001714</v>
      </c>
      <c r="D2615" s="3" t="str">
        <f>"F800-20-1900-(AR 3.6)"</f>
        <v>F800-20-1900-(AR 3.6)</v>
      </c>
      <c r="E2615" s="3" t="str">
        <f>"Escape North! : the true story of Harriet Tubman"</f>
        <v>Escape North! : the true story of Harriet Tubman</v>
      </c>
      <c r="F2615" s="3" t="str">
        <f>"by Monica Kulling ; illustrated by Teresa Flavin"</f>
        <v>by Monica Kulling ; illustrated by Teresa Flavin</v>
      </c>
      <c r="G2615" s="3" t="str">
        <f>"Random House"</f>
        <v>Random House</v>
      </c>
      <c r="H2615" s="2" t="str">
        <f>"2003"</f>
        <v>2003</v>
      </c>
      <c r="I2615" s="3" t="str">
        <f>""</f>
        <v/>
      </c>
    </row>
    <row r="2616" spans="1:9" x14ac:dyDescent="0.3">
      <c r="A2616" s="2">
        <v>2615</v>
      </c>
      <c r="B2616" s="4" t="s">
        <v>37</v>
      </c>
      <c r="C2616" s="3" t="str">
        <f>"TFC000001717"</f>
        <v>TFC000001717</v>
      </c>
      <c r="D2616" s="3" t="str">
        <f>"F800-20-1903-(AR 3.6)"</f>
        <v>F800-20-1903-(AR 3.6)</v>
      </c>
      <c r="E2616" s="3" t="str">
        <f>"Abby takes a stand"</f>
        <v>Abby takes a stand</v>
      </c>
      <c r="F2616" s="3" t="str">
        <f>"by Patricia C. McKissack ; illustrated by Gordon C. James"</f>
        <v>by Patricia C. McKissack ; illustrated by Gordon C. James</v>
      </c>
      <c r="G2616" s="3" t="str">
        <f>"Puffin Books"</f>
        <v>Puffin Books</v>
      </c>
      <c r="H2616" s="2" t="str">
        <f>"2008"</f>
        <v>2008</v>
      </c>
      <c r="I2616" s="3" t="str">
        <f>""</f>
        <v/>
      </c>
    </row>
    <row r="2617" spans="1:9" x14ac:dyDescent="0.3">
      <c r="A2617" s="2">
        <v>2616</v>
      </c>
      <c r="B2617" s="4" t="s">
        <v>37</v>
      </c>
      <c r="C2617" s="3" t="str">
        <f>"TFC000001722"</f>
        <v>TFC000001722</v>
      </c>
      <c r="D2617" s="3" t="str">
        <f>"F800-20-1908-(AR 3.6)"</f>
        <v>F800-20-1908-(AR 3.6)</v>
      </c>
      <c r="E2617" s="3" t="str">
        <f>"Mirandy and brother wind"</f>
        <v>Mirandy and brother wind</v>
      </c>
      <c r="F2617" s="3" t="str">
        <f>"by Patricia C. McKissack ; illustrated by Jerry Pinkney"</f>
        <v>by Patricia C. McKissack ; illustrated by Jerry Pinkney</v>
      </c>
      <c r="G2617" s="3" t="str">
        <f>"Dragonfly Books"</f>
        <v>Dragonfly Books</v>
      </c>
      <c r="H2617" s="2" t="str">
        <f>"1988"</f>
        <v>1988</v>
      </c>
      <c r="I2617" s="3" t="str">
        <f>""</f>
        <v/>
      </c>
    </row>
    <row r="2618" spans="1:9" x14ac:dyDescent="0.3">
      <c r="A2618" s="2">
        <v>2617</v>
      </c>
      <c r="B2618" s="4" t="s">
        <v>37</v>
      </c>
      <c r="C2618" s="3" t="str">
        <f>"TFC000001723"</f>
        <v>TFC000001723</v>
      </c>
      <c r="D2618" s="3" t="str">
        <f>"F800-20-1909-(AR 3.6)"</f>
        <v>F800-20-1909-(AR 3.6)</v>
      </c>
      <c r="E2618" s="3" t="str">
        <f>"(The)funny little woman"</f>
        <v>(The)funny little woman</v>
      </c>
      <c r="F2618" s="3" t="str">
        <f>"retold by Arlene Mosel, pictures by Blair Lent"</f>
        <v>retold by Arlene Mosel, pictures by Blair Lent</v>
      </c>
      <c r="G2618" s="3" t="str">
        <f>"Puffin Books"</f>
        <v>Puffin Books</v>
      </c>
      <c r="H2618" s="2" t="str">
        <f>"1986"</f>
        <v>1986</v>
      </c>
      <c r="I2618" s="3" t="str">
        <f>""</f>
        <v/>
      </c>
    </row>
    <row r="2619" spans="1:9" x14ac:dyDescent="0.3">
      <c r="A2619" s="2">
        <v>2618</v>
      </c>
      <c r="B2619" s="4" t="s">
        <v>37</v>
      </c>
      <c r="C2619" s="3" t="str">
        <f>"TFC000001724"</f>
        <v>TFC000001724</v>
      </c>
      <c r="D2619" s="3" t="str">
        <f>"F800-20-1910-(AR 3.6)"</f>
        <v>F800-20-1910-(AR 3.6)</v>
      </c>
      <c r="E2619" s="3" t="str">
        <f>"Ben franklin and the magic squares"</f>
        <v>Ben franklin and the magic squares</v>
      </c>
      <c r="F2619" s="3" t="str">
        <f>"by Frank Murphy ; illustrated by Richard Walz"</f>
        <v>by Frank Murphy ; illustrated by Richard Walz</v>
      </c>
      <c r="G2619" s="3" t="str">
        <f>"Random House"</f>
        <v>Random House</v>
      </c>
      <c r="H2619" s="2" t="str">
        <f>"2003"</f>
        <v>2003</v>
      </c>
      <c r="I2619" s="3" t="str">
        <f>""</f>
        <v/>
      </c>
    </row>
    <row r="2620" spans="1:9" x14ac:dyDescent="0.3">
      <c r="A2620" s="2">
        <v>2619</v>
      </c>
      <c r="B2620" s="4" t="s">
        <v>37</v>
      </c>
      <c r="C2620" s="3" t="str">
        <f>"TFC000001725"</f>
        <v>TFC000001725</v>
      </c>
      <c r="D2620" s="3" t="str">
        <f>"F800-20-1911-(AR 3.6)"</f>
        <v>F800-20-1911-(AR 3.6)</v>
      </c>
      <c r="E2620" s="3" t="str">
        <f>"Stone soup"</f>
        <v>Stone soup</v>
      </c>
      <c r="F2620" s="3" t="str">
        <f>"Jon J Muth"</f>
        <v>Jon J Muth</v>
      </c>
      <c r="G2620" s="3" t="str">
        <f>"Scholatic Press"</f>
        <v>Scholatic Press</v>
      </c>
      <c r="H2620" s="2" t="str">
        <f>"2003"</f>
        <v>2003</v>
      </c>
      <c r="I2620" s="3" t="str">
        <f>""</f>
        <v/>
      </c>
    </row>
    <row r="2621" spans="1:9" x14ac:dyDescent="0.3">
      <c r="A2621" s="2">
        <v>2620</v>
      </c>
      <c r="B2621" s="4" t="s">
        <v>37</v>
      </c>
      <c r="C2621" s="3" t="str">
        <f>"TFC000001731"</f>
        <v>TFC000001731</v>
      </c>
      <c r="D2621" s="3" t="str">
        <f>"F800-20-1917-(AR 3.6)"</f>
        <v>F800-20-1917-(AR 3.6)</v>
      </c>
      <c r="E2621" s="3" t="str">
        <f>"Marty Pants. 2, keep your paws off!"</f>
        <v>Marty Pants. 2, keep your paws off!</v>
      </c>
      <c r="F2621" s="3" t="str">
        <f>"Mark Parisi"</f>
        <v>Mark Parisi</v>
      </c>
      <c r="G2621" s="3" t="str">
        <f>"Harper"</f>
        <v>Harper</v>
      </c>
      <c r="H2621" s="2" t="str">
        <f>"2017"</f>
        <v>2017</v>
      </c>
      <c r="I2621" s="3" t="str">
        <f>""</f>
        <v/>
      </c>
    </row>
    <row r="2622" spans="1:9" x14ac:dyDescent="0.3">
      <c r="A2622" s="2">
        <v>2621</v>
      </c>
      <c r="B2622" s="4" t="s">
        <v>37</v>
      </c>
      <c r="C2622" s="3" t="str">
        <f>"TFC000001732"</f>
        <v>TFC000001732</v>
      </c>
      <c r="D2622" s="3" t="str">
        <f>"F800-20-1918-(AR 3.6)"</f>
        <v>F800-20-1918-(AR 3.6)</v>
      </c>
      <c r="E2622" s="3" t="str">
        <f>"Puss in boots"</f>
        <v>Puss in boots</v>
      </c>
      <c r="F2622" s="3" t="str">
        <f>"retold by Fiona Patchett ; illustrated by Teri Gower"</f>
        <v>retold by Fiona Patchett ; illustrated by Teri Gower</v>
      </c>
      <c r="G2622" s="3" t="str">
        <f>"Usborne"</f>
        <v>Usborne</v>
      </c>
      <c r="H2622" s="2" t="str">
        <f>"2005"</f>
        <v>2005</v>
      </c>
      <c r="I2622" s="3" t="str">
        <f>""</f>
        <v/>
      </c>
    </row>
    <row r="2623" spans="1:9" x14ac:dyDescent="0.3">
      <c r="A2623" s="2">
        <v>2622</v>
      </c>
      <c r="B2623" s="4" t="s">
        <v>37</v>
      </c>
      <c r="C2623" s="3" t="str">
        <f>"TFC000001736"</f>
        <v>TFC000001736</v>
      </c>
      <c r="D2623" s="3" t="str">
        <f>"F800-20-1922-(AR 3.6)"</f>
        <v>F800-20-1922-(AR 3.6)</v>
      </c>
      <c r="E2623" s="3" t="str">
        <f>"(Stories of)robots"</f>
        <v>(Stories of)robots</v>
      </c>
      <c r="F2623" s="3" t="str">
        <f>"Russell Punter ; illustrated by Andrew Hamilton"</f>
        <v>Russell Punter ; illustrated by Andrew Hamilton</v>
      </c>
      <c r="G2623" s="3" t="str">
        <f>"Usborne"</f>
        <v>Usborne</v>
      </c>
      <c r="H2623" s="2" t="str">
        <f>"2006"</f>
        <v>2006</v>
      </c>
      <c r="I2623" s="3" t="str">
        <f>""</f>
        <v/>
      </c>
    </row>
    <row r="2624" spans="1:9" x14ac:dyDescent="0.3">
      <c r="A2624" s="2">
        <v>2623</v>
      </c>
      <c r="B2624" s="4" t="s">
        <v>37</v>
      </c>
      <c r="C2624" s="3" t="str">
        <f>"TFC000001740"</f>
        <v>TFC000001740</v>
      </c>
      <c r="D2624" s="3" t="str">
        <f>"F800-20-1925-(AR 3.6)"</f>
        <v>F800-20-1925-(AR 3.6)</v>
      </c>
      <c r="E2624" s="3" t="str">
        <f>"(The)real slam dunk"</f>
        <v>(The)real slam dunk</v>
      </c>
      <c r="F2624" s="3" t="str">
        <f>"by Charisse K. Richardson ; illustrated by Kadir Nelson"</f>
        <v>by Charisse K. Richardson ; illustrated by Kadir Nelson</v>
      </c>
      <c r="G2624" s="3" t="str">
        <f>"Puffin Books"</f>
        <v>Puffin Books</v>
      </c>
      <c r="H2624" s="2" t="str">
        <f>"2005"</f>
        <v>2005</v>
      </c>
      <c r="I2624" s="3" t="str">
        <f>""</f>
        <v/>
      </c>
    </row>
    <row r="2625" spans="1:9" x14ac:dyDescent="0.3">
      <c r="A2625" s="2">
        <v>2624</v>
      </c>
      <c r="B2625" s="4" t="s">
        <v>37</v>
      </c>
      <c r="C2625" s="3" t="str">
        <f>"TFC000001747"</f>
        <v>TFC000001747</v>
      </c>
      <c r="D2625" s="3" t="str">
        <f>"F800-20-1932-(AR 3.6)"</f>
        <v>F800-20-1932-(AR 3.6)</v>
      </c>
      <c r="E2625" s="3" t="str">
        <f>"Between shades of gray"</f>
        <v>Between shades of gray</v>
      </c>
      <c r="F2625" s="3" t="str">
        <f>"Ruta Sepetys"</f>
        <v>Ruta Sepetys</v>
      </c>
      <c r="G2625" s="3" t="str">
        <f>"Penguin Books"</f>
        <v>Penguin Books</v>
      </c>
      <c r="H2625" s="2" t="str">
        <f>"2018"</f>
        <v>2018</v>
      </c>
      <c r="I2625" s="3" t="str">
        <f>""</f>
        <v/>
      </c>
    </row>
    <row r="2626" spans="1:9" x14ac:dyDescent="0.3">
      <c r="A2626" s="2">
        <v>2625</v>
      </c>
      <c r="B2626" s="4" t="s">
        <v>37</v>
      </c>
      <c r="C2626" s="3" t="str">
        <f>"TFC000001748"</f>
        <v>TFC000001748</v>
      </c>
      <c r="D2626" s="3" t="str">
        <f>"F800-20-1933-(AR 3.6)"</f>
        <v>F800-20-1933-(AR 3.6)</v>
      </c>
      <c r="E2626" s="3" t="str">
        <f>"Bank robber"</f>
        <v>Bank robber</v>
      </c>
      <c r="F2626" s="3" t="str">
        <f>"written by Francesca Simon ; illustrated by Tony Ross"</f>
        <v>written by Francesca Simon ; illustrated by Tony Ross</v>
      </c>
      <c r="G2626" s="3" t="str">
        <f>"Orion"</f>
        <v>Orion</v>
      </c>
      <c r="H2626" s="2" t="str">
        <f>"2019"</f>
        <v>2019</v>
      </c>
      <c r="I2626" s="3" t="str">
        <f>""</f>
        <v/>
      </c>
    </row>
    <row r="2627" spans="1:9" x14ac:dyDescent="0.3">
      <c r="A2627" s="2">
        <v>2626</v>
      </c>
      <c r="B2627" s="4" t="s">
        <v>37</v>
      </c>
      <c r="C2627" s="3" t="str">
        <f>"TFC000001749"</f>
        <v>TFC000001749</v>
      </c>
      <c r="D2627" s="3" t="str">
        <f>"F800-20-1934-(AR 3.6)"</f>
        <v>F800-20-1934-(AR 3.6)</v>
      </c>
      <c r="E2627" s="3" t="str">
        <f>"(The)field day from the black lagoon"</f>
        <v>(The)field day from the black lagoon</v>
      </c>
      <c r="F2627" s="3" t="str">
        <f>"by Mike Thaler ; illustrated by Jared Lee"</f>
        <v>by Mike Thaler ; illustrated by Jared Lee</v>
      </c>
      <c r="G2627" s="3" t="str">
        <f>"Scholastic"</f>
        <v>Scholastic</v>
      </c>
      <c r="H2627" s="2" t="str">
        <f>"2005"</f>
        <v>2005</v>
      </c>
      <c r="I2627" s="3" t="str">
        <f>""</f>
        <v/>
      </c>
    </row>
    <row r="2628" spans="1:9" x14ac:dyDescent="0.3">
      <c r="A2628" s="2">
        <v>2627</v>
      </c>
      <c r="B2628" s="4" t="s">
        <v>37</v>
      </c>
      <c r="C2628" s="3" t="str">
        <f>"TFC000001750"</f>
        <v>TFC000001750</v>
      </c>
      <c r="D2628" s="3" t="str">
        <f>"F800-20-1935-(AR 3.6)"</f>
        <v>F800-20-1935-(AR 3.6)</v>
      </c>
      <c r="E2628" s="3" t="str">
        <f>"Scaredy squirrel at the beach"</f>
        <v>Scaredy squirrel at the beach</v>
      </c>
      <c r="F2628" s="3" t="str">
        <f>"by Melanie Watt"</f>
        <v>by Melanie Watt</v>
      </c>
      <c r="G2628" s="3" t="str">
        <f>"Kids Can Press"</f>
        <v>Kids Can Press</v>
      </c>
      <c r="H2628" s="2" t="str">
        <f>"2014"</f>
        <v>2014</v>
      </c>
      <c r="I2628" s="3" t="str">
        <f>""</f>
        <v/>
      </c>
    </row>
    <row r="2629" spans="1:9" x14ac:dyDescent="0.3">
      <c r="A2629" s="2">
        <v>2628</v>
      </c>
      <c r="B2629" s="4" t="s">
        <v>37</v>
      </c>
      <c r="C2629" s="3" t="str">
        <f>"TFC000001751"</f>
        <v>TFC000001751</v>
      </c>
      <c r="D2629" s="3" t="str">
        <f>"F800-20-1936-(AR 3.6)"</f>
        <v>F800-20-1936-(AR 3.6)</v>
      </c>
      <c r="E2629" s="3" t="str">
        <f>"Scaredy squirrel"</f>
        <v>Scaredy squirrel</v>
      </c>
      <c r="F2629" s="3" t="str">
        <f>"by Me?lanie Watt"</f>
        <v>by Me?lanie Watt</v>
      </c>
      <c r="G2629" s="3" t="str">
        <f>"Kids Can Press"</f>
        <v>Kids Can Press</v>
      </c>
      <c r="H2629" s="2" t="str">
        <f>"2008"</f>
        <v>2008</v>
      </c>
      <c r="I2629" s="3" t="str">
        <f>""</f>
        <v/>
      </c>
    </row>
    <row r="2630" spans="1:9" x14ac:dyDescent="0.3">
      <c r="A2630" s="2">
        <v>2629</v>
      </c>
      <c r="B2630" s="4" t="s">
        <v>37</v>
      </c>
      <c r="C2630" s="3" t="str">
        <f>"TFC000001753"</f>
        <v>TFC000001753</v>
      </c>
      <c r="D2630" s="3" t="str">
        <f>"F800-20-1938-(AR 3.6)"</f>
        <v>F800-20-1938-(AR 3.6)</v>
      </c>
      <c r="E2630" s="3" t="str">
        <f>"(The adventures of)King Arthur"</f>
        <v>(The adventures of)King Arthur</v>
      </c>
      <c r="F2630" s="3" t="str">
        <f>"retold by Angela Wilkes ; adapted by Gill Harvey ; illustrated by Peter Dennis"</f>
        <v>retold by Angela Wilkes ; adapted by Gill Harvey ; illustrated by Peter Dennis</v>
      </c>
      <c r="G2630" s="3" t="str">
        <f>"Usborne"</f>
        <v>Usborne</v>
      </c>
      <c r="H2630" s="2" t="str">
        <f>"2006"</f>
        <v>2006</v>
      </c>
      <c r="I2630" s="3" t="str">
        <f>""</f>
        <v/>
      </c>
    </row>
    <row r="2631" spans="1:9" x14ac:dyDescent="0.3">
      <c r="A2631" s="2">
        <v>2630</v>
      </c>
      <c r="B2631" s="4" t="s">
        <v>37</v>
      </c>
      <c r="C2631" s="3" t="str">
        <f>"TFC000001754"</f>
        <v>TFC000001754</v>
      </c>
      <c r="D2631" s="3" t="str">
        <f>"F800-20-1939-(AR 3.6)"</f>
        <v>F800-20-1939-(AR 3.6)</v>
      </c>
      <c r="E2631" s="3" t="str">
        <f>"Ten sly piranhas"</f>
        <v>Ten sly piranhas</v>
      </c>
      <c r="F2631" s="3" t="str">
        <f>"William Wise ; pictures by Victoria Chess"</f>
        <v>William Wise ; pictures by Victoria Chess</v>
      </c>
      <c r="G2631" s="3" t="str">
        <f>"Puffin Books"</f>
        <v>Puffin Books</v>
      </c>
      <c r="H2631" s="2" t="str">
        <f>"2004"</f>
        <v>2004</v>
      </c>
      <c r="I2631" s="3" t="str">
        <f>""</f>
        <v/>
      </c>
    </row>
    <row r="2632" spans="1:9" x14ac:dyDescent="0.3">
      <c r="A2632" s="2">
        <v>2631</v>
      </c>
      <c r="B2632" s="4" t="s">
        <v>37</v>
      </c>
      <c r="C2632" s="3" t="str">
        <f>"TFC000001755"</f>
        <v>TFC000001755</v>
      </c>
      <c r="D2632" s="3" t="str">
        <f>"F800-20-1940-(AR 3.6)"</f>
        <v>F800-20-1940-(AR 3.6)</v>
      </c>
      <c r="E2632" s="3" t="str">
        <f>"Red pizzas for a blue count ; Larry Keys"</f>
        <v>Red pizzas for a blue count ; Larry Keys</v>
      </c>
      <c r="F2632" s="3" t="str">
        <f>"by Geronimo Stilton ; illustrated by Matt Wolf"</f>
        <v>by Geronimo Stilton ; illustrated by Matt Wolf</v>
      </c>
      <c r="G2632" s="3" t="str">
        <f>"Scholastic"</f>
        <v>Scholastic</v>
      </c>
      <c r="H2632" s="2" t="str">
        <f>"2004"</f>
        <v>2004</v>
      </c>
      <c r="I2632" s="3" t="str">
        <f>""</f>
        <v/>
      </c>
    </row>
    <row r="2633" spans="1:9" x14ac:dyDescent="0.3">
      <c r="A2633" s="2">
        <v>2632</v>
      </c>
      <c r="B2633" s="4" t="s">
        <v>37</v>
      </c>
      <c r="C2633" s="3" t="str">
        <f>"TFC000001756"</f>
        <v>TFC000001756</v>
      </c>
      <c r="D2633" s="3" t="str">
        <f>"F800-20-1941-(AR 3.6)"</f>
        <v>F800-20-1941-(AR 3.6)</v>
      </c>
      <c r="E2633" s="3" t="str">
        <f>"(The)search for sunken treasure"</f>
        <v>(The)search for sunken treasure</v>
      </c>
      <c r="F2633" s="3" t="str">
        <f>"by Geronimo Stilton ; illustrations by Larry Keys, Mirellik"</f>
        <v>by Geronimo Stilton ; illustrations by Larry Keys, Mirellik</v>
      </c>
      <c r="G2633" s="3" t="str">
        <f>"Scholastic"</f>
        <v>Scholastic</v>
      </c>
      <c r="H2633" s="2" t="str">
        <f>"2006"</f>
        <v>2006</v>
      </c>
      <c r="I2633" s="3" t="str">
        <f>""</f>
        <v/>
      </c>
    </row>
    <row r="2634" spans="1:9" x14ac:dyDescent="0.3">
      <c r="A2634" s="2">
        <v>2633</v>
      </c>
      <c r="B2634" s="4" t="s">
        <v>37</v>
      </c>
      <c r="C2634" s="3" t="str">
        <f>"TFC000001757"</f>
        <v>TFC000001757</v>
      </c>
      <c r="D2634" s="3" t="str">
        <f>"F800-20-1942-(AR 3.6)"</f>
        <v>F800-20-1942-(AR 3.6)</v>
      </c>
      <c r="E2634" s="3" t="str">
        <f>"Geronimo Stilton, secret agent"</f>
        <v>Geronimo Stilton, secret agent</v>
      </c>
      <c r="F2634" s="3" t="str">
        <f>"by Geronimo Stilton ; illustrations by Cleo Bianca, Christian Aliprandi"</f>
        <v>by Geronimo Stilton ; illustrations by Cleo Bianca, Christian Aliprandi</v>
      </c>
      <c r="G2634" s="3" t="str">
        <f>"Scholastic"</f>
        <v>Scholastic</v>
      </c>
      <c r="H2634" s="2" t="str">
        <f>"2008"</f>
        <v>2008</v>
      </c>
      <c r="I2634" s="3" t="str">
        <f>""</f>
        <v/>
      </c>
    </row>
    <row r="2635" spans="1:9" x14ac:dyDescent="0.3">
      <c r="A2635" s="2">
        <v>2634</v>
      </c>
      <c r="B2635" s="4" t="s">
        <v>37</v>
      </c>
      <c r="C2635" s="3" t="str">
        <f>"TFC000001758"</f>
        <v>TFC000001758</v>
      </c>
      <c r="D2635" s="3" t="str">
        <f>"F800-20-1943-(AR 3.6)"</f>
        <v>F800-20-1943-(AR 3.6)</v>
      </c>
      <c r="E2635" s="3" t="str">
        <f>"(The)peculiar pumpkin thief"</f>
        <v>(The)peculiar pumpkin thief</v>
      </c>
      <c r="F2635" s="3" t="str">
        <f>"by Geronimo Stilton ; illustrations by Lorenzo Chiavini"</f>
        <v>by Geronimo Stilton ; illustrations by Lorenzo Chiavini</v>
      </c>
      <c r="G2635" s="3" t="str">
        <f>"Scholastic"</f>
        <v>Scholastic</v>
      </c>
      <c r="H2635" s="2" t="str">
        <f>"2010"</f>
        <v>2010</v>
      </c>
      <c r="I2635" s="3" t="str">
        <f>""</f>
        <v/>
      </c>
    </row>
    <row r="2636" spans="1:9" x14ac:dyDescent="0.3">
      <c r="A2636" s="2">
        <v>2635</v>
      </c>
      <c r="B2636" s="4" t="s">
        <v>37</v>
      </c>
      <c r="C2636" s="3" t="str">
        <f>"TFC000002883"</f>
        <v>TFC000002883</v>
      </c>
      <c r="D2636" s="3" t="str">
        <f>"F800-20-1944-(AR 3.6)"</f>
        <v>F800-20-1944-(AR 3.6)</v>
      </c>
      <c r="E2636" s="3" t="str">
        <f>"Andy and the lion : a tale of kindness remembered or the power of gratitude"</f>
        <v>Andy and the lion : a tale of kindness remembered or the power of gratitude</v>
      </c>
      <c r="F2636" s="3" t="str">
        <f>"James Henry Daugherty"</f>
        <v>James Henry Daugherty</v>
      </c>
      <c r="G2636" s="3" t="str">
        <f>"Puffin Books"</f>
        <v>Puffin Books</v>
      </c>
      <c r="H2636" s="2" t="str">
        <f>"1989"</f>
        <v>1989</v>
      </c>
      <c r="I2636" s="3" t="str">
        <f>""</f>
        <v/>
      </c>
    </row>
    <row r="2637" spans="1:9" x14ac:dyDescent="0.3">
      <c r="A2637" s="2">
        <v>2636</v>
      </c>
      <c r="B2637" s="4" t="s">
        <v>37</v>
      </c>
      <c r="C2637" s="3" t="str">
        <f>"TFC000002885"</f>
        <v>TFC000002885</v>
      </c>
      <c r="D2637" s="3" t="str">
        <f>"F400-20-1856-(AR 3.6)"</f>
        <v>F400-20-1856-(AR 3.6)</v>
      </c>
      <c r="E2637" s="3" t="str">
        <f>"Giant pandas : gifts from China"</f>
        <v>Giant pandas : gifts from China</v>
      </c>
      <c r="F2637" s="3" t="str">
        <f>"by Allan Fowler"</f>
        <v>by Allan Fowler</v>
      </c>
      <c r="G2637" s="3" t="str">
        <f>"Scholastic"</f>
        <v>Scholastic</v>
      </c>
      <c r="H2637" s="2" t="str">
        <f>"2001"</f>
        <v>2001</v>
      </c>
      <c r="I2637" s="3" t="str">
        <f>""</f>
        <v/>
      </c>
    </row>
    <row r="2638" spans="1:9" x14ac:dyDescent="0.3">
      <c r="A2638" s="2">
        <v>2637</v>
      </c>
      <c r="B2638" s="4" t="s">
        <v>37</v>
      </c>
      <c r="C2638" s="3" t="str">
        <f>"TFC000002886"</f>
        <v>TFC000002886</v>
      </c>
      <c r="D2638" s="3" t="str">
        <f>"F800-20-1946-(AR 3.6)"</f>
        <v>F800-20-1946-(AR 3.6)</v>
      </c>
      <c r="E2638" s="3" t="str">
        <f>"Nothing but the truth : a documentary Novel"</f>
        <v>Nothing but the truth : a documentary Novel</v>
      </c>
      <c r="F2638" s="3" t="str">
        <f>"by Avi"</f>
        <v>by Avi</v>
      </c>
      <c r="G2638" s="3" t="str">
        <f>"Scholastic"</f>
        <v>Scholastic</v>
      </c>
      <c r="H2638" s="2" t="str">
        <f>"2003"</f>
        <v>2003</v>
      </c>
      <c r="I2638" s="3" t="str">
        <f>""</f>
        <v/>
      </c>
    </row>
    <row r="2639" spans="1:9" x14ac:dyDescent="0.3">
      <c r="A2639" s="2">
        <v>2638</v>
      </c>
      <c r="B2639" s="4" t="s">
        <v>37</v>
      </c>
      <c r="C2639" s="3" t="str">
        <f>"TFC000002964"</f>
        <v>TFC000002964</v>
      </c>
      <c r="D2639" s="3" t="str">
        <f>"F800-20-1948-(AR 3.6)"</f>
        <v>F800-20-1948-(AR 3.6)</v>
      </c>
      <c r="E2639" s="3" t="str">
        <f>"Come on, rain!"</f>
        <v>Come on, rain!</v>
      </c>
      <c r="F2639" s="3" t="str">
        <f>"by Karen Hesse ; pictures by Jon J. Muth"</f>
        <v>by Karen Hesse ; pictures by Jon J. Muth</v>
      </c>
      <c r="G2639" s="3" t="str">
        <f>"Scholasti"</f>
        <v>Scholasti</v>
      </c>
      <c r="H2639" s="2" t="str">
        <f>"1999"</f>
        <v>1999</v>
      </c>
      <c r="I2639" s="3" t="str">
        <f>""</f>
        <v/>
      </c>
    </row>
    <row r="2640" spans="1:9" x14ac:dyDescent="0.3">
      <c r="A2640" s="2">
        <v>2639</v>
      </c>
      <c r="B2640" s="4" t="s">
        <v>37</v>
      </c>
      <c r="C2640" s="3" t="str">
        <f>"TFC000002965"</f>
        <v>TFC000002965</v>
      </c>
      <c r="D2640" s="3" t="str">
        <f>"F800-20-1949-(AR 3.6)"</f>
        <v>F800-20-1949-(AR 3.6)</v>
      </c>
      <c r="E2640" s="3" t="str">
        <f>"Our crazy classroom election"</f>
        <v>Our crazy classroom election</v>
      </c>
      <c r="F2640" s="3" t="str">
        <f>"by Timothy Roland"</f>
        <v>by Timothy Roland</v>
      </c>
      <c r="G2640" s="3" t="str">
        <f>"Scholastic"</f>
        <v>Scholastic</v>
      </c>
      <c r="H2640" s="2" t="str">
        <f>"2007"</f>
        <v>2007</v>
      </c>
      <c r="I2640" s="3" t="str">
        <f>""</f>
        <v/>
      </c>
    </row>
    <row r="2641" spans="1:9" x14ac:dyDescent="0.3">
      <c r="A2641" s="2">
        <v>2640</v>
      </c>
      <c r="B2641" s="4" t="s">
        <v>37</v>
      </c>
      <c r="C2641" s="3" t="str">
        <f>"TFC000002966"</f>
        <v>TFC000002966</v>
      </c>
      <c r="D2641" s="3" t="str">
        <f>"F800-20-1950-(AR 3.6)"</f>
        <v>F800-20-1950-(AR 3.6)</v>
      </c>
      <c r="E2641" s="3" t="str">
        <f>"(The)wind in the willows"</f>
        <v>(The)wind in the willows</v>
      </c>
      <c r="F2641" s="3" t="str">
        <f>"based on the original story by Kenneth Graham ; retold by Lesley Sims ; illustrated by Mauro Evangelista"</f>
        <v>based on the original story by Kenneth Graham ; retold by Lesley Sims ; illustrated by Mauro Evangelista</v>
      </c>
      <c r="G2641" s="3" t="str">
        <f>"Usborne"</f>
        <v>Usborne</v>
      </c>
      <c r="H2641" s="2" t="str">
        <f>"2011"</f>
        <v>2011</v>
      </c>
      <c r="I2641" s="3" t="str">
        <f>""</f>
        <v/>
      </c>
    </row>
    <row r="2642" spans="1:9" x14ac:dyDescent="0.3">
      <c r="A2642" s="2">
        <v>2641</v>
      </c>
      <c r="B2642" s="4" t="s">
        <v>37</v>
      </c>
      <c r="C2642" s="3" t="str">
        <f>"TFC000002967"</f>
        <v>TFC000002967</v>
      </c>
      <c r="D2642" s="3" t="str">
        <f>"F800-20-1951-(AR 3.6)"</f>
        <v>F800-20-1951-(AR 3.6)</v>
      </c>
      <c r="E2642" s="3" t="str">
        <f>"Who stole the Wizard of Oz?"</f>
        <v>Who stole the Wizard of Oz?</v>
      </c>
      <c r="F2642" s="3" t="str">
        <f>"by Avi ; illustrated by Derek James"</f>
        <v>by Avi ; illustrated by Derek James</v>
      </c>
      <c r="G2642" s="3" t="str">
        <f>"Scholastic"</f>
        <v>Scholastic</v>
      </c>
      <c r="H2642" s="2" t="str">
        <f>"2001"</f>
        <v>2001</v>
      </c>
      <c r="I2642" s="3" t="str">
        <f>""</f>
        <v/>
      </c>
    </row>
    <row r="2643" spans="1:9" x14ac:dyDescent="0.3">
      <c r="A2643" s="2">
        <v>2642</v>
      </c>
      <c r="B2643" s="4" t="s">
        <v>37</v>
      </c>
      <c r="C2643" s="3" t="str">
        <f>"TFC000003377"</f>
        <v>TFC000003377</v>
      </c>
      <c r="D2643" s="3" t="str">
        <f>"F900-21-0681-(AR 3.6)"</f>
        <v>F900-21-0681-(AR 3.6)</v>
      </c>
      <c r="E2643" s="3" t="str">
        <f>"I am a promise"</f>
        <v>I am a promise</v>
      </c>
      <c r="F2643" s="3" t="str">
        <f>"by Shelly Ann Fraser Pryce, with Ashley Rousseau ; Illustrated by Rachel Moss"</f>
        <v>by Shelly Ann Fraser Pryce, with Ashley Rousseau ; Illustrated by Rachel Moss</v>
      </c>
      <c r="G2643" s="3" t="str">
        <f>"Black Sheep"</f>
        <v>Black Sheep</v>
      </c>
      <c r="H2643" s="2" t="str">
        <f>"2020"</f>
        <v>2020</v>
      </c>
      <c r="I2643" s="3" t="str">
        <f>""</f>
        <v/>
      </c>
    </row>
    <row r="2644" spans="1:9" x14ac:dyDescent="0.3">
      <c r="A2644" s="2">
        <v>2643</v>
      </c>
      <c r="B2644" s="4" t="s">
        <v>37</v>
      </c>
      <c r="C2644" s="3" t="str">
        <f>"TFC000003378"</f>
        <v>TFC000003378</v>
      </c>
      <c r="D2644" s="3" t="str">
        <f>"F600-21-0655-(AR 3.6)"</f>
        <v>F600-21-0655-(AR 3.6)</v>
      </c>
      <c r="E2644" s="3" t="str">
        <f>"Parkour"</f>
        <v>Parkour</v>
      </c>
      <c r="F2644" s="3" t="str">
        <f>"by Lily Loye"</f>
        <v>by Lily Loye</v>
      </c>
      <c r="G2644" s="3" t="str">
        <f>"DiscoverRoo"</f>
        <v>DiscoverRoo</v>
      </c>
      <c r="H2644" s="2" t="str">
        <f>"2020"</f>
        <v>2020</v>
      </c>
      <c r="I2644" s="3" t="str">
        <f>""</f>
        <v/>
      </c>
    </row>
    <row r="2645" spans="1:9" x14ac:dyDescent="0.3">
      <c r="A2645" s="2">
        <v>2644</v>
      </c>
      <c r="B2645" s="4" t="s">
        <v>37</v>
      </c>
      <c r="C2645" s="3" t="str">
        <f>"TFC000003379"</f>
        <v>TFC000003379</v>
      </c>
      <c r="D2645" s="3" t="str">
        <f>"F800-21-0656-(AR 3.6)"</f>
        <v>F800-21-0656-(AR 3.6)</v>
      </c>
      <c r="E2645" s="3" t="str">
        <f>"(The)desert is theirs"</f>
        <v>(The)desert is theirs</v>
      </c>
      <c r="F2645" s="3" t="str">
        <f>"by Byrd Baylor ; illustrated by Peter Parnall"</f>
        <v>by Byrd Baylor ; illustrated by Peter Parnall</v>
      </c>
      <c r="G2645" s="3" t="str">
        <f>"Aladdin"</f>
        <v>Aladdin</v>
      </c>
      <c r="H2645" s="2" t="str">
        <f>"1987"</f>
        <v>1987</v>
      </c>
      <c r="I2645" s="3" t="str">
        <f>""</f>
        <v/>
      </c>
    </row>
    <row r="2646" spans="1:9" x14ac:dyDescent="0.3">
      <c r="A2646" s="2">
        <v>2645</v>
      </c>
      <c r="B2646" s="4" t="s">
        <v>37</v>
      </c>
      <c r="C2646" s="3" t="str">
        <f>"TFC000003481"</f>
        <v>TFC000003481</v>
      </c>
      <c r="D2646" s="3" t="str">
        <f>"F800-21-0658-(AR 3.6)"</f>
        <v>F800-21-0658-(AR 3.6)</v>
      </c>
      <c r="E2646" s="3" t="str">
        <f>"Monkey with a tool belt and the maniac muffins"</f>
        <v>Monkey with a tool belt and the maniac muffins</v>
      </c>
      <c r="F2646" s="3" t="str">
        <f>"by Chris Monroe"</f>
        <v>by Chris Monroe</v>
      </c>
      <c r="G2646" s="3" t="str">
        <f>"Carolrhoda Books"</f>
        <v>Carolrhoda Books</v>
      </c>
      <c r="H2646" s="2" t="str">
        <f>"2016"</f>
        <v>2016</v>
      </c>
      <c r="I2646" s="3" t="str">
        <f>""</f>
        <v/>
      </c>
    </row>
    <row r="2647" spans="1:9" x14ac:dyDescent="0.3">
      <c r="A2647" s="2">
        <v>2646</v>
      </c>
      <c r="B2647" s="4" t="s">
        <v>37</v>
      </c>
      <c r="C2647" s="3" t="str">
        <f>"TFC000003623"</f>
        <v>TFC000003623</v>
      </c>
      <c r="D2647" s="3" t="str">
        <f>"F800-21-0661-(AR 3.6)"</f>
        <v>F800-21-0661-(AR 3.6)</v>
      </c>
      <c r="E2647" s="3" t="str">
        <f>"(The)ghost emperor's new clothes : a graphic novel"</f>
        <v>(The)ghost emperor's new clothes : a graphic novel</v>
      </c>
      <c r="F2647" s="3" t="str">
        <f>"by Benjamin Harper ; illustrated by Alex Lopez ; [lettered by Jaymes Reed]"</f>
        <v>by Benjamin Harper ; illustrated by Alex Lopez ; [lettered by Jaymes Reed]</v>
      </c>
      <c r="G2647" s="3" t="str">
        <f>"Stone Arch Books, a Capstone imprint"</f>
        <v>Stone Arch Books, a Capstone imprint</v>
      </c>
      <c r="H2647" s="2" t="str">
        <f>"2015"</f>
        <v>2015</v>
      </c>
      <c r="I2647" s="3" t="str">
        <f>""</f>
        <v/>
      </c>
    </row>
    <row r="2648" spans="1:9" x14ac:dyDescent="0.3">
      <c r="A2648" s="2">
        <v>2647</v>
      </c>
      <c r="B2648" s="4" t="s">
        <v>37</v>
      </c>
      <c r="C2648" s="3" t="str">
        <f>"TFC000003784"</f>
        <v>TFC000003784</v>
      </c>
      <c r="D2648" s="3" t="str">
        <f>"F800-21-0665-(AR 3.6)"</f>
        <v>F800-21-0665-(AR 3.6)</v>
      </c>
      <c r="E2648" s="3" t="str">
        <f>"Classes are canceled!"</f>
        <v>Classes are canceled!</v>
      </c>
      <c r="F2648" s="3" t="str">
        <f>"by Jack Chabert ; illustrated by Matt Loveridge ; based on the art of Sam Ricks"</f>
        <v>by Jack Chabert ; illustrated by Matt Loveridge ; based on the art of Sam Ricks</v>
      </c>
      <c r="G2648" s="3" t="str">
        <f>"Scholastic"</f>
        <v>Scholastic</v>
      </c>
      <c r="H2648" s="2" t="str">
        <f>"2017"</f>
        <v>2017</v>
      </c>
      <c r="I2648" s="3" t="str">
        <f>""</f>
        <v/>
      </c>
    </row>
    <row r="2649" spans="1:9" x14ac:dyDescent="0.3">
      <c r="A2649" s="2">
        <v>2648</v>
      </c>
      <c r="B2649" s="4" t="s">
        <v>37</v>
      </c>
      <c r="C2649" s="3" t="str">
        <f>"TFC000003739"</f>
        <v>TFC000003739</v>
      </c>
      <c r="D2649" s="3" t="str">
        <f>"F800-21-0663-(AR 3.6)"</f>
        <v>F800-21-0663-(AR 3.6)</v>
      </c>
      <c r="E2649" s="3" t="str">
        <f>"(The)field day from the black lagoon"</f>
        <v>(The)field day from the black lagoon</v>
      </c>
      <c r="F2649" s="3" t="str">
        <f>"by Mike Thaler ; illustraed by Jared lee"</f>
        <v>by Mike Thaler ; illustraed by Jared lee</v>
      </c>
      <c r="G2649" s="3" t="str">
        <f>"Scholastic"</f>
        <v>Scholastic</v>
      </c>
      <c r="H2649" s="2" t="str">
        <f>"2007"</f>
        <v>2007</v>
      </c>
      <c r="I2649" s="3" t="str">
        <f>""</f>
        <v/>
      </c>
    </row>
    <row r="2650" spans="1:9" x14ac:dyDescent="0.3">
      <c r="A2650" s="2">
        <v>2649</v>
      </c>
      <c r="B2650" s="4" t="s">
        <v>37</v>
      </c>
      <c r="C2650" s="3" t="str">
        <f>"TFC000003751"</f>
        <v>TFC000003751</v>
      </c>
      <c r="D2650" s="3" t="str">
        <f>"F800-21-0664-(AR 3.6)"</f>
        <v>F800-21-0664-(AR 3.6)</v>
      </c>
      <c r="E2650" s="3" t="str">
        <f>"(The)author visit from the black lagoon"</f>
        <v>(The)author visit from the black lagoon</v>
      </c>
      <c r="F2650" s="3" t="str">
        <f>"by Mike Thaler ; illustraed by Jared lee"</f>
        <v>by Mike Thaler ; illustraed by Jared lee</v>
      </c>
      <c r="G2650" s="3" t="str">
        <f>"Scholastic"</f>
        <v>Scholastic</v>
      </c>
      <c r="H2650" s="2" t="str">
        <f>"2010"</f>
        <v>2010</v>
      </c>
      <c r="I2650" s="3" t="str">
        <f>""</f>
        <v/>
      </c>
    </row>
    <row r="2651" spans="1:9" x14ac:dyDescent="0.3">
      <c r="A2651" s="2">
        <v>2650</v>
      </c>
      <c r="B2651" s="4" t="s">
        <v>37</v>
      </c>
      <c r="C2651" s="3" t="str">
        <f>"TFC000003787"</f>
        <v>TFC000003787</v>
      </c>
      <c r="D2651" s="3" t="str">
        <f>"F800-21-0666-(AR 3.6)"</f>
        <v>F800-21-0666-(AR 3.6)</v>
      </c>
      <c r="E2651" s="3" t="str">
        <f>"Jasmine Toguchi, mochi queen"</f>
        <v>Jasmine Toguchi, mochi queen</v>
      </c>
      <c r="F2651" s="3" t="str">
        <f>"by Debbi Michiko Florence ; pictures by Elizabet Vukovic"</f>
        <v>by Debbi Michiko Florence ; pictures by Elizabet Vukovic</v>
      </c>
      <c r="G2651" s="3" t="str">
        <f>"Farrar Straus Giroux"</f>
        <v>Farrar Straus Giroux</v>
      </c>
      <c r="H2651" s="2" t="str">
        <f>"2017"</f>
        <v>2017</v>
      </c>
      <c r="I2651" s="3" t="str">
        <f>""</f>
        <v/>
      </c>
    </row>
    <row r="2652" spans="1:9" x14ac:dyDescent="0.3">
      <c r="A2652" s="2">
        <v>2651</v>
      </c>
      <c r="B2652" s="4" t="s">
        <v>37</v>
      </c>
      <c r="C2652" s="3" t="str">
        <f>"TFC000003812"</f>
        <v>TFC000003812</v>
      </c>
      <c r="D2652" s="3" t="str">
        <f>"F800-21-0667-(AR 3.6)"</f>
        <v>F800-21-0667-(AR 3.6)</v>
      </c>
      <c r="E2652" s="3" t="str">
        <f>"Dragon masters. 18, Heat of the lava dragon"</f>
        <v>Dragon masters. 18, Heat of the lava dragon</v>
      </c>
      <c r="F2652" s="3" t="str">
        <f>"by Tracey West"</f>
        <v>by Tracey West</v>
      </c>
      <c r="G2652" s="3" t="str">
        <f>"Branches:Scholastic"</f>
        <v>Branches:Scholastic</v>
      </c>
      <c r="H2652" s="2" t="str">
        <f>"2021"</f>
        <v>2021</v>
      </c>
      <c r="I2652" s="3" t="str">
        <f>""</f>
        <v/>
      </c>
    </row>
    <row r="2653" spans="1:9" x14ac:dyDescent="0.3">
      <c r="A2653" s="2">
        <v>2652</v>
      </c>
      <c r="B2653" s="4" t="s">
        <v>37</v>
      </c>
      <c r="C2653" s="3" t="str">
        <f>"TFC000003845"</f>
        <v>TFC000003845</v>
      </c>
      <c r="D2653" s="3" t="str">
        <f>"F800-21-0668-(AR 3.6)"</f>
        <v>F800-21-0668-(AR 3.6)</v>
      </c>
      <c r="E2653" s="3" t="str">
        <f>"Henry Heckelbeck : dinosaur hunter"</f>
        <v>Henry Heckelbeck : dinosaur hunter</v>
      </c>
      <c r="F2653" s="3" t="str">
        <f>"by Wanda Coven, illustrated by Priscilla Burris"</f>
        <v>by Wanda Coven, illustrated by Priscilla Burris</v>
      </c>
      <c r="G2653" s="3" t="str">
        <f>"Little Simon"</f>
        <v>Little Simon</v>
      </c>
      <c r="H2653" s="2" t="str">
        <f>"2021"</f>
        <v>2021</v>
      </c>
      <c r="I2653" s="3" t="str">
        <f>""</f>
        <v/>
      </c>
    </row>
    <row r="2654" spans="1:9" x14ac:dyDescent="0.3">
      <c r="A2654" s="2">
        <v>2653</v>
      </c>
      <c r="B2654" s="4" t="s">
        <v>37</v>
      </c>
      <c r="C2654" s="3" t="str">
        <f>"TFC000004063"</f>
        <v>TFC000004063</v>
      </c>
      <c r="D2654" s="3" t="str">
        <f>"F500-21-0654-(AR 3.6)"</f>
        <v>F500-21-0654-(AR 3.6)</v>
      </c>
      <c r="E2654" s="3" t="str">
        <f>"Lost in the Amazon : Juliane Koepcke's story"</f>
        <v>Lost in the Amazon : Juliane Koepcke's story</v>
      </c>
      <c r="F2654" s="3" t="str">
        <f>"by Betsy Rathburn, illustration by Tate Yotter, color by Gerardo Sandoval"</f>
        <v>by Betsy Rathburn, illustration by Tate Yotter, color by Gerardo Sandoval</v>
      </c>
      <c r="G2654" s="3" t="str">
        <f>"Bellwether Media"</f>
        <v>Bellwether Media</v>
      </c>
      <c r="H2654" s="2" t="str">
        <f>"2022"</f>
        <v>2022</v>
      </c>
      <c r="I2654" s="3" t="str">
        <f>""</f>
        <v/>
      </c>
    </row>
    <row r="2655" spans="1:9" x14ac:dyDescent="0.3">
      <c r="A2655" s="2">
        <v>2654</v>
      </c>
      <c r="B2655" s="4" t="s">
        <v>37</v>
      </c>
      <c r="C2655" s="3" t="str">
        <f>"TFC000004113"</f>
        <v>TFC000004113</v>
      </c>
      <c r="D2655" s="3" t="str">
        <f>"F400-21-0682-(AR 3.6)=2"</f>
        <v>F400-21-0682-(AR 3.6)=2</v>
      </c>
      <c r="E2655" s="3" t="str">
        <f>"Star stuff : Carl Sagan and the mysteries of the cosmos"</f>
        <v>Star stuff : Carl Sagan and the mysteries of the cosmos</v>
      </c>
      <c r="F2655" s="3" t="str">
        <f>"[by] Stephanie Roth Sisson"</f>
        <v>[by] Stephanie Roth Sisson</v>
      </c>
      <c r="G2655" s="3" t="str">
        <f>"Roaring Brook Press"</f>
        <v>Roaring Brook Press</v>
      </c>
      <c r="H2655" s="2" t="str">
        <f>"2014"</f>
        <v>2014</v>
      </c>
      <c r="I2655" s="3" t="str">
        <f>""</f>
        <v/>
      </c>
    </row>
    <row r="2656" spans="1:9" x14ac:dyDescent="0.3">
      <c r="A2656" s="2">
        <v>2655</v>
      </c>
      <c r="B2656" s="4" t="s">
        <v>37</v>
      </c>
      <c r="C2656" s="3" t="str">
        <f>"TFC000004132"</f>
        <v>TFC000004132</v>
      </c>
      <c r="D2656" s="3" t="str">
        <f>"F800-21-0672-(AR 3.6)"</f>
        <v>F800-21-0672-(AR 3.6)</v>
      </c>
      <c r="E2656" s="3" t="str">
        <f>"Doctor De Soto"</f>
        <v>Doctor De Soto</v>
      </c>
      <c r="F2656" s="3" t="str">
        <f>"by William Steig"</f>
        <v>by William Steig</v>
      </c>
      <c r="G2656" s="3" t="str">
        <f>"Square Fish"</f>
        <v>Square Fish</v>
      </c>
      <c r="H2656" s="2" t="str">
        <f>"2010"</f>
        <v>2010</v>
      </c>
      <c r="I2656" s="3" t="str">
        <f>""</f>
        <v/>
      </c>
    </row>
    <row r="2657" spans="1:9" x14ac:dyDescent="0.3">
      <c r="A2657" s="2">
        <v>2656</v>
      </c>
      <c r="B2657" s="4" t="s">
        <v>37</v>
      </c>
      <c r="C2657" s="3" t="str">
        <f>"TFC000004179"</f>
        <v>TFC000004179</v>
      </c>
      <c r="D2657" s="3" t="str">
        <f>"F800-21-0673-(AR 3.6)"</f>
        <v>F800-21-0673-(AR 3.6)</v>
      </c>
      <c r="E2657" s="3" t="str">
        <f>"Becoming Brianna"</f>
        <v>Becoming Brianna</v>
      </c>
      <c r="F2657" s="3" t="str">
        <f>"by Terri Libenson"</f>
        <v>by Terri Libenson</v>
      </c>
      <c r="G2657" s="3" t="str">
        <f>"Balzer+Bray"</f>
        <v>Balzer+Bray</v>
      </c>
      <c r="H2657" s="2" t="str">
        <f>"2020"</f>
        <v>2020</v>
      </c>
      <c r="I2657" s="3" t="str">
        <f>""</f>
        <v/>
      </c>
    </row>
    <row r="2658" spans="1:9" x14ac:dyDescent="0.3">
      <c r="A2658" s="2">
        <v>2657</v>
      </c>
      <c r="B2658" s="4" t="s">
        <v>37</v>
      </c>
      <c r="C2658" s="3" t="str">
        <f>"TFC000004181"</f>
        <v>TFC000004181</v>
      </c>
      <c r="D2658" s="3" t="str">
        <f>"F800-21-0674-(AR 3.6)"</f>
        <v>F800-21-0674-(AR 3.6)</v>
      </c>
      <c r="E2658" s="3" t="str">
        <f>"Construction site mission : demolition!"</f>
        <v>Construction site mission : demolition!</v>
      </c>
      <c r="F2658" s="3" t="str">
        <f>"by Sherri Duskey Rinker, illustrated by AG Ford"</f>
        <v>by Sherri Duskey Rinker, illustrated by AG Ford</v>
      </c>
      <c r="G2658" s="3" t="str">
        <f>"Chronicle Books"</f>
        <v>Chronicle Books</v>
      </c>
      <c r="H2658" s="2" t="str">
        <f>"2020"</f>
        <v>2020</v>
      </c>
      <c r="I2658" s="3" t="str">
        <f>""</f>
        <v/>
      </c>
    </row>
    <row r="2659" spans="1:9" x14ac:dyDescent="0.3">
      <c r="A2659" s="2">
        <v>2658</v>
      </c>
      <c r="B2659" s="4" t="s">
        <v>37</v>
      </c>
      <c r="C2659" s="3" t="str">
        <f>"TFC000004182"</f>
        <v>TFC000004182</v>
      </c>
      <c r="D2659" s="3" t="str">
        <f>"F800-21-0675-(AR 3.6)"</f>
        <v>F800-21-0675-(AR 3.6)</v>
      </c>
      <c r="E2659" s="3" t="str">
        <f>"Just Jaime"</f>
        <v>Just Jaime</v>
      </c>
      <c r="F2659" s="3" t="str">
        <f>"by Terri Libenson"</f>
        <v>by Terri Libenson</v>
      </c>
      <c r="G2659" s="3" t="str">
        <f>"Balzer &amp; Bray"</f>
        <v>Balzer &amp; Bray</v>
      </c>
      <c r="H2659" s="2" t="str">
        <f>"2019"</f>
        <v>2019</v>
      </c>
      <c r="I2659" s="3" t="str">
        <f>""</f>
        <v/>
      </c>
    </row>
    <row r="2660" spans="1:9" x14ac:dyDescent="0.3">
      <c r="A2660" s="2">
        <v>2659</v>
      </c>
      <c r="B2660" s="4" t="s">
        <v>37</v>
      </c>
      <c r="C2660" s="3" t="str">
        <f>"TFC000004183"</f>
        <v>TFC000004183</v>
      </c>
      <c r="D2660" s="3" t="str">
        <f>"F800-21-0676-(AR 3.6)"</f>
        <v>F800-21-0676-(AR 3.6)</v>
      </c>
      <c r="E2660" s="3" t="str">
        <f>"Fighting words"</f>
        <v>Fighting words</v>
      </c>
      <c r="F2660" s="3" t="str">
        <f>"by Kimberly Brubaker Bradley"</f>
        <v>by Kimberly Brubaker Bradley</v>
      </c>
      <c r="G2660" s="3" t="str">
        <f>"Dial Books for Young Readers"</f>
        <v>Dial Books for Young Readers</v>
      </c>
      <c r="H2660" s="2" t="str">
        <f>"2020"</f>
        <v>2020</v>
      </c>
      <c r="I2660" s="3" t="str">
        <f>""</f>
        <v/>
      </c>
    </row>
    <row r="2661" spans="1:9" x14ac:dyDescent="0.3">
      <c r="A2661" s="2">
        <v>2660</v>
      </c>
      <c r="B2661" s="4" t="s">
        <v>37</v>
      </c>
      <c r="C2661" s="3" t="str">
        <f>"TFC000004184"</f>
        <v>TFC000004184</v>
      </c>
      <c r="D2661" s="3" t="str">
        <f>"F800-21-0677-(AR 3.6)"</f>
        <v>F800-21-0677-(AR 3.6)</v>
      </c>
      <c r="E2661" s="3" t="str">
        <f>"Zero to hero"</f>
        <v>Zero to hero</v>
      </c>
      <c r="F2661" s="3" t="str">
        <f>"Stephan Pastis"</f>
        <v>Stephan Pastis</v>
      </c>
      <c r="G2661" s="3" t="str">
        <f>"Disney Hyperion"</f>
        <v>Disney Hyperion</v>
      </c>
      <c r="H2661" s="2" t="str">
        <f>"2020."</f>
        <v>2020.</v>
      </c>
      <c r="I2661" s="3" t="str">
        <f>""</f>
        <v/>
      </c>
    </row>
    <row r="2662" spans="1:9" x14ac:dyDescent="0.3">
      <c r="A2662" s="2">
        <v>2661</v>
      </c>
      <c r="B2662" s="4" t="s">
        <v>37</v>
      </c>
      <c r="C2662" s="3" t="str">
        <f>"TFC000004185"</f>
        <v>TFC000004185</v>
      </c>
      <c r="D2662" s="3" t="str">
        <f>"F800-21-0678-(AR 3.6)"</f>
        <v>F800-21-0678-(AR 3.6)</v>
      </c>
      <c r="E2662" s="3" t="str">
        <f>"Check, Please! : # Hockey"</f>
        <v>Check, Please! : # Hockey</v>
      </c>
      <c r="F2662" s="3" t="str">
        <f>"by Ngozi Ukazu"</f>
        <v>by Ngozi Ukazu</v>
      </c>
      <c r="G2662" s="3" t="str">
        <f>"First Second"</f>
        <v>First Second</v>
      </c>
      <c r="H2662" s="2" t="str">
        <f>"2018"</f>
        <v>2018</v>
      </c>
      <c r="I2662" s="3" t="str">
        <f>""</f>
        <v/>
      </c>
    </row>
    <row r="2663" spans="1:9" x14ac:dyDescent="0.3">
      <c r="A2663" s="2">
        <v>2662</v>
      </c>
      <c r="B2663" s="4" t="s">
        <v>37</v>
      </c>
      <c r="C2663" s="3" t="str">
        <f>"TFC000004186"</f>
        <v>TFC000004186</v>
      </c>
      <c r="D2663" s="3" t="str">
        <f>"F800-21-0679-(AR 3.6)"</f>
        <v>F800-21-0679-(AR 3.6)</v>
      </c>
      <c r="E2663" s="3" t="str">
        <f>"Bubble"</f>
        <v>Bubble</v>
      </c>
      <c r="F2663" s="3" t="str">
        <f>"by Stewart Foster"</f>
        <v>by Stewart Foster</v>
      </c>
      <c r="G2663" s="3" t="str">
        <f>"Delacorte Books"</f>
        <v>Delacorte Books</v>
      </c>
      <c r="H2663" s="2" t="str">
        <f>"2014"</f>
        <v>2014</v>
      </c>
      <c r="I2663" s="3" t="str">
        <f>""</f>
        <v/>
      </c>
    </row>
    <row r="2664" spans="1:9" x14ac:dyDescent="0.3">
      <c r="A2664" s="2">
        <v>2663</v>
      </c>
      <c r="B2664" s="4" t="s">
        <v>37</v>
      </c>
      <c r="C2664" s="3" t="str">
        <f>"TFC000004208"</f>
        <v>TFC000004208</v>
      </c>
      <c r="D2664" s="3" t="str">
        <f>"F900-22-0109-(AR 3.6)"</f>
        <v>F900-22-0109-(AR 3.6)</v>
      </c>
      <c r="E2664" s="3" t="str">
        <f>"I am Billie Jean King"</f>
        <v>I am Billie Jean King</v>
      </c>
      <c r="F2664" s="3" t="str">
        <f>"Brad Meltzer, illustrated by Christopher Eliopoulos"</f>
        <v>Brad Meltzer, illustrated by Christopher Eliopoulos</v>
      </c>
      <c r="G2664" s="3" t="str">
        <f>"Dial Books"</f>
        <v>Dial Books</v>
      </c>
      <c r="H2664" s="2" t="str">
        <f>"2019"</f>
        <v>2019</v>
      </c>
      <c r="I2664" s="3" t="str">
        <f>""</f>
        <v/>
      </c>
    </row>
    <row r="2665" spans="1:9" x14ac:dyDescent="0.3">
      <c r="A2665" s="2">
        <v>2664</v>
      </c>
      <c r="B2665" s="4" t="s">
        <v>37</v>
      </c>
      <c r="C2665" s="3" t="str">
        <f>"TFC000004229"</f>
        <v>TFC000004229</v>
      </c>
      <c r="D2665" s="3" t="str">
        <f>"F800-22-0045-(AR 3.6)"</f>
        <v>F800-22-0045-(AR 3.6)</v>
      </c>
      <c r="E2665" s="3" t="str">
        <f>"(The)78-story treehouse"</f>
        <v>(The)78-story treehouse</v>
      </c>
      <c r="F2665" s="3" t="str">
        <f>"by Andy Griffiths, illustrated by Terry Denton"</f>
        <v>by Andy Griffiths, illustrated by Terry Denton</v>
      </c>
      <c r="G2665" s="3" t="str">
        <f>"Feiwel &amp; Friends"</f>
        <v>Feiwel &amp; Friends</v>
      </c>
      <c r="H2665" s="2" t="str">
        <f>"2016"</f>
        <v>2016</v>
      </c>
      <c r="I2665" s="3" t="str">
        <f>""</f>
        <v/>
      </c>
    </row>
    <row r="2666" spans="1:9" x14ac:dyDescent="0.3">
      <c r="A2666" s="2">
        <v>2665</v>
      </c>
      <c r="B2666" s="4" t="s">
        <v>37</v>
      </c>
      <c r="C2666" s="3" t="str">
        <f>"TFC000004231"</f>
        <v>TFC000004231</v>
      </c>
      <c r="D2666" s="3" t="str">
        <f>"F800-22-0048-(AR 3.6)=2"</f>
        <v>F800-22-0048-(AR 3.6)=2</v>
      </c>
      <c r="E2666" s="3" t="str">
        <f>"(The)52-story treehouse"</f>
        <v>(The)52-story treehouse</v>
      </c>
      <c r="F2666" s="3" t="str">
        <f>"by Andy Griffiths, illustrated by Terry Denton"</f>
        <v>by Andy Griffiths, illustrated by Terry Denton</v>
      </c>
      <c r="G2666" s="3" t="str">
        <f>"Feiwel &amp; Friends"</f>
        <v>Feiwel &amp; Friends</v>
      </c>
      <c r="H2666" s="2" t="str">
        <f>"2016"</f>
        <v>2016</v>
      </c>
      <c r="I2666" s="3" t="str">
        <f>""</f>
        <v/>
      </c>
    </row>
    <row r="2667" spans="1:9" x14ac:dyDescent="0.3">
      <c r="A2667" s="2">
        <v>2666</v>
      </c>
      <c r="B2667" s="4" t="s">
        <v>37</v>
      </c>
      <c r="C2667" s="3" t="str">
        <f>"TFC000004289"</f>
        <v>TFC000004289</v>
      </c>
      <c r="D2667" s="3" t="str">
        <f>"F900-22-0047-(AR 3.6)"</f>
        <v>F900-22-0047-(AR 3.6)</v>
      </c>
      <c r="E2667" s="3" t="str">
        <f>"I am George Washington"</f>
        <v>I am George Washington</v>
      </c>
      <c r="F2667" s="3" t="str">
        <f>"by Brad Meltzer, illustrated by Christopher Eliopoulos"</f>
        <v>by Brad Meltzer, illustrated by Christopher Eliopoulos</v>
      </c>
      <c r="G2667" s="3" t="str">
        <f>"Dial Books"</f>
        <v>Dial Books</v>
      </c>
      <c r="H2667" s="2" t="str">
        <f>"2016"</f>
        <v>2016</v>
      </c>
      <c r="I2667" s="3" t="str">
        <f>""</f>
        <v/>
      </c>
    </row>
    <row r="2668" spans="1:9" x14ac:dyDescent="0.3">
      <c r="A2668" s="2">
        <v>2667</v>
      </c>
      <c r="B2668" s="4" t="s">
        <v>37</v>
      </c>
      <c r="C2668" s="3" t="str">
        <f>"TFC000004920"</f>
        <v>TFC000004920</v>
      </c>
      <c r="D2668" s="3" t="str">
        <f>"F408-23-0024-(AR3.6)"</f>
        <v>F408-23-0024-(AR3.6)</v>
      </c>
      <c r="E2668" s="3" t="str">
        <f>"(The)magic school bus, inside the earth"</f>
        <v>(The)magic school bus, inside the earth</v>
      </c>
      <c r="F2668" s="3" t="str">
        <f>"by Joanna Cole, illustrated by Bruce Degen"</f>
        <v>by Joanna Cole, illustrated by Bruce Degen</v>
      </c>
      <c r="G2668" s="3" t="str">
        <f>"Scholastic"</f>
        <v>Scholastic</v>
      </c>
      <c r="H2668" s="2" t="str">
        <f>"1997"</f>
        <v>1997</v>
      </c>
      <c r="I2668" s="3" t="str">
        <f>""</f>
        <v/>
      </c>
    </row>
    <row r="2669" spans="1:9" x14ac:dyDescent="0.3">
      <c r="A2669" s="2">
        <v>2668</v>
      </c>
      <c r="B2669" s="4" t="s">
        <v>37</v>
      </c>
      <c r="C2669" s="3" t="str">
        <f>"TFC000004905"</f>
        <v>TFC000004905</v>
      </c>
      <c r="D2669" s="3" t="str">
        <f>"F800-23-0009-(AR3.6)"</f>
        <v>F800-23-0009-(AR3.6)</v>
      </c>
      <c r="E2669" s="3" t="str">
        <f>"If I built a car"</f>
        <v>If I built a car</v>
      </c>
      <c r="F2669" s="3" t="str">
        <f>"Chris Van Dusen"</f>
        <v>Chris Van Dusen</v>
      </c>
      <c r="G2669" s="3" t="str">
        <f>"Dutton Children's Books"</f>
        <v>Dutton Children's Books</v>
      </c>
      <c r="H2669" s="2" t="str">
        <f>"2005"</f>
        <v>2005</v>
      </c>
      <c r="I2669" s="3" t="str">
        <f>""</f>
        <v/>
      </c>
    </row>
    <row r="2670" spans="1:9" x14ac:dyDescent="0.3">
      <c r="A2670" s="2">
        <v>2669</v>
      </c>
      <c r="B2670" s="4" t="s">
        <v>37</v>
      </c>
      <c r="C2670" s="3" t="str">
        <f>"TFC000004371"</f>
        <v>TFC000004371</v>
      </c>
      <c r="D2670" s="3" t="str">
        <f>"F800-22-0180-(AR3.6)"</f>
        <v>F800-22-0180-(AR3.6)</v>
      </c>
      <c r="E2670" s="3" t="str">
        <f>"Mountain Top Mystery"</f>
        <v>Mountain Top Mystery</v>
      </c>
      <c r="F2670" s="3" t="str">
        <f>"by Gertrude Chandler Warner, illstrated by Liz Brizzi"</f>
        <v>by Gertrude Chandler Warner, illstrated by Liz Brizzi</v>
      </c>
      <c r="G2670" s="3" t="str">
        <f>"Albert Whitman &amp; Company"</f>
        <v>Albert Whitman &amp; Company</v>
      </c>
      <c r="H2670" s="2" t="str">
        <f>"2021"</f>
        <v>2021</v>
      </c>
      <c r="I2670" s="3" t="str">
        <f>""</f>
        <v/>
      </c>
    </row>
    <row r="2671" spans="1:9" x14ac:dyDescent="0.3">
      <c r="A2671" s="2">
        <v>2670</v>
      </c>
      <c r="B2671" s="4" t="s">
        <v>37</v>
      </c>
      <c r="C2671" s="3" t="str">
        <f>"TFC000004379"</f>
        <v>TFC000004379</v>
      </c>
      <c r="D2671" s="3" t="str">
        <f>"F800-22-0188-(AR3.6)"</f>
        <v>F800-22-0188-(AR3.6)</v>
      </c>
      <c r="E2671" s="3" t="str">
        <f>"June 29, 1999"</f>
        <v>June 29, 1999</v>
      </c>
      <c r="F2671" s="3" t="str">
        <f>"by David Wiesner"</f>
        <v>by David Wiesner</v>
      </c>
      <c r="G2671" s="3" t="str">
        <f>"Houghton Mifflin Harcourt"</f>
        <v>Houghton Mifflin Harcourt</v>
      </c>
      <c r="H2671" s="2" t="str">
        <f>"1992"</f>
        <v>1992</v>
      </c>
      <c r="I2671" s="3" t="str">
        <f>""</f>
        <v/>
      </c>
    </row>
    <row r="2672" spans="1:9" x14ac:dyDescent="0.3">
      <c r="A2672" s="2">
        <v>2671</v>
      </c>
      <c r="B2672" s="4" t="s">
        <v>37</v>
      </c>
      <c r="C2672" s="3" t="str">
        <f>"TFC000004817"</f>
        <v>TFC000004817</v>
      </c>
      <c r="D2672" s="3" t="str">
        <f>"F800-22-0555-(AR3.6)"</f>
        <v>F800-22-0555-(AR3.6)</v>
      </c>
      <c r="E2672" s="3" t="str">
        <f>"Becoming Brianna"</f>
        <v>Becoming Brianna</v>
      </c>
      <c r="F2672" s="3" t="str">
        <f>"by Terri Libenson"</f>
        <v>by Terri Libenson</v>
      </c>
      <c r="G2672" s="3" t="str">
        <f>"Balzer &amp; Bray"</f>
        <v>Balzer &amp; Bray</v>
      </c>
      <c r="H2672" s="2" t="str">
        <f>"2020"</f>
        <v>2020</v>
      </c>
      <c r="I2672" s="3" t="str">
        <f>""</f>
        <v/>
      </c>
    </row>
    <row r="2673" spans="1:9" x14ac:dyDescent="0.3">
      <c r="A2673" s="2">
        <v>2672</v>
      </c>
      <c r="B2673" s="4" t="s">
        <v>37</v>
      </c>
      <c r="C2673" s="3" t="str">
        <f>"TFC000004479"</f>
        <v>TFC000004479</v>
      </c>
      <c r="D2673" s="3" t="str">
        <f>"F800-22-0288-(AR3.6)"</f>
        <v>F800-22-0288-(AR3.6)</v>
      </c>
      <c r="E2673" s="3" t="str">
        <f>"(The)Secret of the Hidden Scrolls. 9, The Final Scroll"</f>
        <v>(The)Secret of the Hidden Scrolls. 9, The Final Scroll</v>
      </c>
      <c r="F2673" s="3" t="str">
        <f>"by M. J. Thomas"</f>
        <v>by M. J. Thomas</v>
      </c>
      <c r="G2673" s="3" t="str">
        <f>"Worthy Kids"</f>
        <v>Worthy Kids</v>
      </c>
      <c r="H2673" s="2" t="str">
        <f>"2021"</f>
        <v>2021</v>
      </c>
      <c r="I2673" s="3" t="str">
        <f>""</f>
        <v/>
      </c>
    </row>
    <row r="2674" spans="1:9" x14ac:dyDescent="0.3">
      <c r="A2674" s="2">
        <v>2673</v>
      </c>
      <c r="B2674" s="4" t="s">
        <v>37</v>
      </c>
      <c r="C2674" s="3" t="str">
        <f>"TFC000004480"</f>
        <v>TFC000004480</v>
      </c>
      <c r="D2674" s="3" t="str">
        <f>"F800-22-0289-(AR3.6)"</f>
        <v>F800-22-0289-(AR3.6)</v>
      </c>
      <c r="E2674" s="3" t="str">
        <f>"Heidi Heckelbeck and the Snow Day Surprise"</f>
        <v>Heidi Heckelbeck and the Snow Day Surprise</v>
      </c>
      <c r="F2674" s="3" t="str">
        <f>"by Wanda Coven, illustrated by Priscilla Burris"</f>
        <v>by Wanda Coven, illustrated by Priscilla Burris</v>
      </c>
      <c r="G2674" s="3" t="str">
        <f>"Little Simon"</f>
        <v>Little Simon</v>
      </c>
      <c r="H2674" s="2" t="str">
        <f>"2021"</f>
        <v>2021</v>
      </c>
      <c r="I2674" s="3" t="str">
        <f>""</f>
        <v/>
      </c>
    </row>
    <row r="2675" spans="1:9" x14ac:dyDescent="0.3">
      <c r="A2675" s="2">
        <v>2674</v>
      </c>
      <c r="B2675" s="4" t="s">
        <v>37</v>
      </c>
      <c r="C2675" s="3" t="str">
        <f>"TFC000004481"</f>
        <v>TFC000004481</v>
      </c>
      <c r="D2675" s="3" t="str">
        <f>"F800-22-0290-(AR3.6)"</f>
        <v>F800-22-0290-(AR3.6)</v>
      </c>
      <c r="E2675" s="3" t="str">
        <f>"Lily's Water Woes"</f>
        <v>Lily's Water Woes</v>
      </c>
      <c r="F2675" s="3" t="str">
        <f>"written by Brandi Dougherty, illustrated by Renee Kurilla"</f>
        <v>written by Brandi Dougherty, illustrated by Renee Kurilla</v>
      </c>
      <c r="G2675" s="3" t="str">
        <f>"Rodale Kids"</f>
        <v>Rodale Kids</v>
      </c>
      <c r="H2675" s="2" t="str">
        <f>"2018"</f>
        <v>2018</v>
      </c>
      <c r="I2675" s="3" t="str">
        <f>""</f>
        <v/>
      </c>
    </row>
    <row r="2676" spans="1:9" x14ac:dyDescent="0.3">
      <c r="A2676" s="2">
        <v>2675</v>
      </c>
      <c r="B2676" s="4" t="s">
        <v>37</v>
      </c>
      <c r="C2676" s="3" t="str">
        <f>"TFC000004482"</f>
        <v>TFC000004482</v>
      </c>
      <c r="D2676" s="3" t="str">
        <f>"F800-22-0291-(AR3.6)"</f>
        <v>F800-22-0291-(AR3.6)</v>
      </c>
      <c r="E2676" s="3" t="str">
        <f>"(A) Sled for Gabo"</f>
        <v>(A) Sled for Gabo</v>
      </c>
      <c r="F2676" s="3" t="str">
        <f>"by Emma Otheguy, illustrated by Ana Ramirez"</f>
        <v>by Emma Otheguy, illustrated by Ana Ramirez</v>
      </c>
      <c r="G2676" s="3" t="str">
        <f>"Atheneum Books for Young Readers"</f>
        <v>Atheneum Books for Young Readers</v>
      </c>
      <c r="H2676" s="2" t="str">
        <f>"2021"</f>
        <v>2021</v>
      </c>
      <c r="I2676" s="3" t="str">
        <f>""</f>
        <v/>
      </c>
    </row>
    <row r="2677" spans="1:9" x14ac:dyDescent="0.3">
      <c r="A2677" s="2">
        <v>2676</v>
      </c>
      <c r="B2677" s="4" t="s">
        <v>37</v>
      </c>
      <c r="C2677" s="3" t="str">
        <f>"TFC000004483"</f>
        <v>TFC000004483</v>
      </c>
      <c r="D2677" s="3" t="str">
        <f>"F800-22-0292-(AR3.6)"</f>
        <v>F800-22-0292-(AR3.6)</v>
      </c>
      <c r="E2677" s="3" t="str">
        <f>"Something good"</f>
        <v>Something good</v>
      </c>
      <c r="F2677" s="3" t="str">
        <f>"words by Marcy Campbell, pictures by Corinna Luyken."</f>
        <v>words by Marcy Campbell, pictures by Corinna Luyken.</v>
      </c>
      <c r="G2677" s="3" t="str">
        <f>"Little, Brown Books for Young Readers"</f>
        <v>Little, Brown Books for Young Readers</v>
      </c>
      <c r="H2677" s="2" t="str">
        <f>"2021"</f>
        <v>2021</v>
      </c>
      <c r="I2677" s="3" t="str">
        <f>""</f>
        <v/>
      </c>
    </row>
    <row r="2678" spans="1:9" x14ac:dyDescent="0.3">
      <c r="A2678" s="2">
        <v>2677</v>
      </c>
      <c r="B2678" s="4" t="s">
        <v>37</v>
      </c>
      <c r="C2678" s="3" t="str">
        <f>"TFC000004693"</f>
        <v>TFC000004693</v>
      </c>
      <c r="D2678" s="3" t="str">
        <f>"F800-22-0502-(AR3.6)"</f>
        <v>F800-22-0502-(AR3.6)</v>
      </c>
      <c r="E2678" s="3" t="str">
        <f>"Arcade and the Dazzling Truth Detector"</f>
        <v>Arcade and the Dazzling Truth Detector</v>
      </c>
      <c r="F2678" s="3" t="str">
        <f>"by Rashad Jennings with Jill Osborne"</f>
        <v>by Rashad Jennings with Jill Osborne</v>
      </c>
      <c r="G2678" s="3" t="str">
        <f>"Zondervan"</f>
        <v>Zondervan</v>
      </c>
      <c r="H2678" s="2" t="str">
        <f>"2020"</f>
        <v>2020</v>
      </c>
      <c r="I2678" s="3" t="str">
        <f>""</f>
        <v/>
      </c>
    </row>
    <row r="2679" spans="1:9" x14ac:dyDescent="0.3">
      <c r="A2679" s="2">
        <v>2678</v>
      </c>
      <c r="B2679" s="4" t="s">
        <v>37</v>
      </c>
      <c r="C2679" s="3" t="str">
        <f>"TFC000001716"</f>
        <v>TFC000001716</v>
      </c>
      <c r="D2679" s="3" t="str">
        <f>"F800-20-1902-1(AR 3.6)"</f>
        <v>F800-20-1902-1(AR 3.6)</v>
      </c>
      <c r="E2679" s="3" t="str">
        <f>"(The)babySitters club. 1, Kristy's great idea"</f>
        <v>(The)babySitters club. 1, Kristy's great idea</v>
      </c>
      <c r="F2679" s="3" t="str">
        <f>"Ann M. Martin"</f>
        <v>Ann M. Martin</v>
      </c>
      <c r="G2679" s="3" t="str">
        <f>"Scholastic"</f>
        <v>Scholastic</v>
      </c>
      <c r="H2679" s="2" t="str">
        <f>"2010"</f>
        <v>2010</v>
      </c>
      <c r="I2679" s="3" t="str">
        <f>""</f>
        <v/>
      </c>
    </row>
    <row r="2680" spans="1:9" x14ac:dyDescent="0.3">
      <c r="A2680" s="2">
        <v>2679</v>
      </c>
      <c r="B2680" s="4">
        <v>3.6</v>
      </c>
      <c r="C2680" s="3" t="str">
        <f>"TFC000004011"</f>
        <v>TFC000004011</v>
      </c>
      <c r="D2680" s="3" t="str">
        <f>"F800-21-0670-12(AR 3.6)"</f>
        <v>F800-21-0670-12(AR 3.6)</v>
      </c>
      <c r="E2680" s="3" t="str">
        <f>"Judy Moody. 12, Judy Moody, mood Martian"</f>
        <v>Judy Moody. 12, Judy Moody, mood Martian</v>
      </c>
      <c r="F2680" s="3" t="str">
        <f>"by Megan McDonald, illustrations by Peter H. Reynolds"</f>
        <v>by Megan McDonald, illustrations by Peter H. Reynolds</v>
      </c>
      <c r="G2680" s="3" t="str">
        <f>"Candlewick Press"</f>
        <v>Candlewick Press</v>
      </c>
      <c r="H2680" s="2" t="str">
        <f>"2014"</f>
        <v>2014</v>
      </c>
      <c r="I2680" s="3" t="str">
        <f>""</f>
        <v/>
      </c>
    </row>
    <row r="2681" spans="1:9" x14ac:dyDescent="0.3">
      <c r="A2681" s="2">
        <v>2680</v>
      </c>
      <c r="B2681" s="4">
        <v>3.6</v>
      </c>
      <c r="C2681" s="3" t="str">
        <f>"TFC000003432"</f>
        <v>TFC000003432</v>
      </c>
      <c r="D2681" s="3" t="str">
        <f>"F800-21-0680-16(AR 3.6)"</f>
        <v>F800-21-0680-16(AR 3.6)</v>
      </c>
      <c r="E2681" s="3" t="str">
        <f>"Dragon masters. 16, Call of the sound dragon"</f>
        <v>Dragon masters. 16, Call of the sound dragon</v>
      </c>
      <c r="F2681" s="3" t="str">
        <f>"by Tracey West ; illustrated by Matt Loveridge"</f>
        <v>by Tracey West ; illustrated by Matt Loveridge</v>
      </c>
      <c r="G2681" s="3" t="str">
        <f>"Scholastic"</f>
        <v>Scholastic</v>
      </c>
      <c r="H2681" s="2" t="str">
        <f>"2020"</f>
        <v>2020</v>
      </c>
      <c r="I2681" s="3" t="str">
        <f>""</f>
        <v/>
      </c>
    </row>
    <row r="2682" spans="1:9" x14ac:dyDescent="0.3">
      <c r="A2682" s="2">
        <v>2681</v>
      </c>
      <c r="B2682" s="4">
        <v>3.6</v>
      </c>
      <c r="C2682" s="3" t="str">
        <f>"TFC000004265"</f>
        <v>TFC000004265</v>
      </c>
      <c r="D2682" s="3" t="str">
        <f>"F800-22-0046-17(AR 3.6)"</f>
        <v>F800-22-0046-17(AR 3.6)</v>
      </c>
      <c r="E2682" s="3" t="str">
        <f>"(The)Critter club. 17, Amy on Park Patrol"</f>
        <v>(The)Critter club. 17, Amy on Park Patrol</v>
      </c>
      <c r="F2682" s="3" t="str">
        <f>"by Callie Barkley, illustrated by Tracy Bishop"</f>
        <v>by Callie Barkley, illustrated by Tracy Bishop</v>
      </c>
      <c r="G2682" s="3" t="str">
        <f>"Little Simon"</f>
        <v>Little Simon</v>
      </c>
      <c r="H2682" s="2" t="str">
        <f>"2017"</f>
        <v>2017</v>
      </c>
      <c r="I2682" s="3" t="str">
        <f>""</f>
        <v/>
      </c>
    </row>
    <row r="2683" spans="1:9" x14ac:dyDescent="0.3">
      <c r="A2683" s="2">
        <v>2682</v>
      </c>
      <c r="B2683" s="4">
        <v>3.6</v>
      </c>
      <c r="C2683" s="3" t="str">
        <f>"TFC000001711"</f>
        <v>TFC000001711</v>
      </c>
      <c r="D2683" s="3" t="str">
        <f>"F800-20-1897-20(AR 3.6)"</f>
        <v>F800-20-1897-20(AR 3.6)</v>
      </c>
      <c r="E2683" s="3" t="str">
        <f>"Mr. Louie is screwy!"</f>
        <v>Mr. Louie is screwy!</v>
      </c>
      <c r="F2683" s="3" t="str">
        <f>"Dan Gutman ; pictures by Jim Paillot"</f>
        <v>Dan Gutman ; pictures by Jim Paillot</v>
      </c>
      <c r="G2683" s="3" t="str">
        <f>"HarperTrophy"</f>
        <v>HarperTrophy</v>
      </c>
      <c r="H2683" s="2" t="str">
        <f>"2007"</f>
        <v>2007</v>
      </c>
      <c r="I2683" s="3" t="str">
        <f>""</f>
        <v/>
      </c>
    </row>
    <row r="2684" spans="1:9" x14ac:dyDescent="0.3">
      <c r="A2684" s="2">
        <v>2683</v>
      </c>
      <c r="B2684" s="4">
        <v>3.6</v>
      </c>
      <c r="C2684" s="3" t="str">
        <f>"TFC000001721"</f>
        <v>TFC000001721</v>
      </c>
      <c r="D2684" s="3" t="str">
        <f>"F800-20-1907-3(AR 3.6)"</f>
        <v>F800-20-1907-3(AR 3.6)</v>
      </c>
      <c r="E2684" s="3" t="str">
        <f>"Judy Moody. 3 : illustrated by Peter H. Reynolds, saves the world!"</f>
        <v>Judy Moody. 3 : illustrated by Peter H. Reynolds, saves the world!</v>
      </c>
      <c r="F2684" s="3" t="str">
        <f>"Megan McDonald"</f>
        <v>Megan McDonald</v>
      </c>
      <c r="G2684" s="3" t="str">
        <f>"Spotlight"</f>
        <v>Spotlight</v>
      </c>
      <c r="H2684" s="2" t="str">
        <f>"2018"</f>
        <v>2018</v>
      </c>
      <c r="I2684" s="3" t="str">
        <f>""</f>
        <v/>
      </c>
    </row>
    <row r="2685" spans="1:9" x14ac:dyDescent="0.3">
      <c r="A2685" s="2">
        <v>2684</v>
      </c>
      <c r="B2685" s="4">
        <v>3.6</v>
      </c>
      <c r="C2685" s="3" t="str">
        <f>"TFC000004120"</f>
        <v>TFC000004120</v>
      </c>
      <c r="D2685" s="3" t="str">
        <f>"F800-21-0671-3(AR 3.6)"</f>
        <v>F800-21-0671-3(AR 3.6)</v>
      </c>
      <c r="E2685" s="3" t="str">
        <f>"Mac B. kid spy : mac undercover. 3"</f>
        <v>Mac B. kid spy : mac undercover. 3</v>
      </c>
      <c r="F2685" s="3" t="str">
        <f>"by Mac Barnett, illustrated by Mike Lowery"</f>
        <v>by Mac Barnett, illustrated by Mike Lowery</v>
      </c>
      <c r="G2685" s="3" t="str">
        <f>"Orchard Books"</f>
        <v>Orchard Books</v>
      </c>
      <c r="H2685" s="2" t="str">
        <f>"2018"</f>
        <v>2018</v>
      </c>
      <c r="I2685" s="3" t="str">
        <f>""</f>
        <v/>
      </c>
    </row>
    <row r="2686" spans="1:9" x14ac:dyDescent="0.3">
      <c r="A2686" s="2">
        <v>2685</v>
      </c>
      <c r="B2686" s="4">
        <v>3.6</v>
      </c>
      <c r="C2686" s="3" t="str">
        <f>"TFC000001708"</f>
        <v>TFC000001708</v>
      </c>
      <c r="D2686" s="3" t="str">
        <f>"F800-20-1894-4(AR 3.6)"</f>
        <v>F800-20-1894-4(AR 3.6)</v>
      </c>
      <c r="E2686" s="3" t="str">
        <f>"Ms. Hannah is bananas!"</f>
        <v>Ms. Hannah is bananas!</v>
      </c>
      <c r="F2686" s="3" t="str">
        <f>"Dan Gutman ; pictures by Jim Paillot"</f>
        <v>Dan Gutman ; pictures by Jim Paillot</v>
      </c>
      <c r="G2686" s="3" t="str">
        <f>"HarperTrophy"</f>
        <v>HarperTrophy</v>
      </c>
      <c r="H2686" s="2" t="str">
        <f>"2005"</f>
        <v>2005</v>
      </c>
      <c r="I2686" s="3" t="str">
        <f>""</f>
        <v/>
      </c>
    </row>
    <row r="2687" spans="1:9" x14ac:dyDescent="0.3">
      <c r="A2687" s="2">
        <v>2686</v>
      </c>
      <c r="B2687" s="4">
        <v>3.6</v>
      </c>
      <c r="C2687" s="3" t="str">
        <f>"TFC000004713"</f>
        <v>TFC000004713</v>
      </c>
      <c r="D2687" s="3" t="str">
        <f>"F800-22-0519-4(AR 3.6)"</f>
        <v>F800-22-0519-4(AR 3.6)</v>
      </c>
      <c r="E2687" s="3" t="str">
        <f>"(The)52-Storey Treehouse"</f>
        <v>(The)52-Storey Treehouse</v>
      </c>
      <c r="F2687" s="3" t="str">
        <f>"by Andy Griffiths, illustrated by Terry Denton"</f>
        <v>by Andy Griffiths, illustrated by Terry Denton</v>
      </c>
      <c r="G2687" s="3" t="str">
        <f>"Pan MacMillan"</f>
        <v>Pan MacMillan</v>
      </c>
      <c r="H2687" s="2" t="str">
        <f>"2016"</f>
        <v>2016</v>
      </c>
      <c r="I2687" s="3" t="str">
        <f>""</f>
        <v/>
      </c>
    </row>
    <row r="2688" spans="1:9" x14ac:dyDescent="0.3">
      <c r="A2688" s="2">
        <v>2687</v>
      </c>
      <c r="B2688" s="4">
        <v>3.6</v>
      </c>
      <c r="C2688" s="3" t="str">
        <f>"TFC000001734"</f>
        <v>TFC000001734</v>
      </c>
      <c r="D2688" s="3" t="str">
        <f>"F800-20-1920-5(AR 3.6)"</f>
        <v>F800-20-1920-5(AR 3.6)</v>
      </c>
      <c r="E2688" s="3" t="str">
        <f>"Ricky Ricotta's mighty robot vs the jurassic jackrabbits from jupiter"</f>
        <v>Ricky Ricotta's mighty robot vs the jurassic jackrabbits from jupiter</v>
      </c>
      <c r="F2688" s="3" t="str">
        <f>"story by Dav Pilkey ; art by Dan Santat"</f>
        <v>story by Dav Pilkey ; art by Dan Santat</v>
      </c>
      <c r="G2688" s="3" t="str">
        <f>"Scholastic Inc."</f>
        <v>Scholastic Inc.</v>
      </c>
      <c r="H2688" s="2" t="str">
        <f>"2002"</f>
        <v>2002</v>
      </c>
      <c r="I2688" s="3" t="str">
        <f>""</f>
        <v/>
      </c>
    </row>
    <row r="2689" spans="1:9" x14ac:dyDescent="0.3">
      <c r="A2689" s="2">
        <v>2688</v>
      </c>
      <c r="B2689" s="4">
        <v>3.6</v>
      </c>
      <c r="C2689" s="3" t="str">
        <f>"TFC000003926"</f>
        <v>TFC000003926</v>
      </c>
      <c r="D2689" s="3" t="str">
        <f>"F800-21-0669-6(AR 3.6)"</f>
        <v>F800-21-0669-6(AR 3.6)</v>
      </c>
      <c r="E2689" s="3" t="str">
        <f>"Ivy + Bean. 6, doomed to dance"</f>
        <v>Ivy + Bean. 6, doomed to dance</v>
      </c>
      <c r="F2689" s="3" t="str">
        <f>"by Annie Barrows, illustrated by Sophie Blackall"</f>
        <v>by Annie Barrows, illustrated by Sophie Blackall</v>
      </c>
      <c r="G2689" s="3" t="str">
        <f>"Chronicle Books"</f>
        <v>Chronicle Books</v>
      </c>
      <c r="H2689" s="2" t="str">
        <f>"2009"</f>
        <v>2009</v>
      </c>
      <c r="I2689" s="3" t="str">
        <f>""</f>
        <v/>
      </c>
    </row>
    <row r="2690" spans="1:9" x14ac:dyDescent="0.3">
      <c r="A2690" s="2">
        <v>2689</v>
      </c>
      <c r="B2690" s="4">
        <v>3.6</v>
      </c>
      <c r="C2690" s="3" t="str">
        <f>"TFC000004715"</f>
        <v>TFC000004715</v>
      </c>
      <c r="D2690" s="3" t="str">
        <f>"F800-22-0519-6(AR 3.6)"</f>
        <v>F800-22-0519-6(AR 3.6)</v>
      </c>
      <c r="E2690" s="3" t="str">
        <f>"(The)78-Storey Treehouse"</f>
        <v>(The)78-Storey Treehouse</v>
      </c>
      <c r="F2690" s="3" t="str">
        <f>"by Andy Griffiths"</f>
        <v>by Andy Griffiths</v>
      </c>
      <c r="G2690" s="3" t="str">
        <f>"Pan MacMillan Childrens"</f>
        <v>Pan MacMillan Childrens</v>
      </c>
      <c r="H2690" s="2" t="str">
        <f>"2017"</f>
        <v>2017</v>
      </c>
      <c r="I2690" s="3" t="str">
        <f>""</f>
        <v/>
      </c>
    </row>
    <row r="2691" spans="1:9" x14ac:dyDescent="0.3">
      <c r="A2691" s="2">
        <v>2690</v>
      </c>
      <c r="B2691" s="4" t="s">
        <v>37</v>
      </c>
      <c r="C2691" s="3" t="str">
        <f>"TFC000001735"</f>
        <v>TFC000001735</v>
      </c>
      <c r="D2691" s="3" t="str">
        <f>"F800-20-1921-9(AR 3.6)"</f>
        <v>F800-20-1921-9(AR 3.6)</v>
      </c>
      <c r="E2691" s="3" t="str">
        <f>"Ricky Ricotta's mighty robot vs the unpleasant penguins from Pluto"</f>
        <v>Ricky Ricotta's mighty robot vs the unpleasant penguins from Pluto</v>
      </c>
      <c r="F2691" s="3" t="str">
        <f>"story by Dav Pilkey ; art by Dan Santat"</f>
        <v>story by Dav Pilkey ; art by Dan Santat</v>
      </c>
      <c r="G2691" s="3" t="str">
        <f>"Scholastic"</f>
        <v>Scholastic</v>
      </c>
      <c r="H2691" s="2" t="str">
        <f>"2016"</f>
        <v>2016</v>
      </c>
      <c r="I2691" s="3" t="str">
        <f>""</f>
        <v/>
      </c>
    </row>
    <row r="2692" spans="1:9" x14ac:dyDescent="0.3">
      <c r="A2692" s="2">
        <v>2691</v>
      </c>
      <c r="B2692" s="4" t="s">
        <v>38</v>
      </c>
      <c r="C2692" s="3" t="str">
        <f>"TFC000001802"</f>
        <v>TFC000001802</v>
      </c>
      <c r="D2692" s="3" t="str">
        <f>"F800-20-1996-(AR 3.7)"</f>
        <v>F800-20-1996-(AR 3.7)</v>
      </c>
      <c r="E2692" s="3" t="str">
        <f>"(The)midnight ghosts"</f>
        <v>(The)midnight ghosts</v>
      </c>
      <c r="F2692" s="3" t="str">
        <f>"by Emma Fischel ; illustrated by Adrienne Kern ; adapted by  Jane Bingham"</f>
        <v>by Emma Fischel ; illustrated by Adrienne Kern ; adapted by  Jane Bingham</v>
      </c>
      <c r="G2692" s="3" t="str">
        <f>"usborne"</f>
        <v>usborne</v>
      </c>
      <c r="H2692" s="2" t="str">
        <f>"2004"</f>
        <v>2004</v>
      </c>
      <c r="I2692" s="2" t="s">
        <v>2</v>
      </c>
    </row>
    <row r="2693" spans="1:9" x14ac:dyDescent="0.3">
      <c r="A2693" s="2">
        <v>2692</v>
      </c>
      <c r="B2693" s="4" t="s">
        <v>38</v>
      </c>
      <c r="C2693" s="3" t="str">
        <f>"TFC000001809"</f>
        <v>TFC000001809</v>
      </c>
      <c r="D2693" s="3" t="str">
        <f>"F800-20-2003-(AR 3.7)"</f>
        <v>F800-20-2003-(AR 3.7)</v>
      </c>
      <c r="E2693" s="3" t="str">
        <f>"Robin Hood"</f>
        <v>Robin Hood</v>
      </c>
      <c r="F2693" s="3" t="str">
        <f>"retold by Rob Lloyd Jones ; illustrated by Alan Marks"</f>
        <v>retold by Rob Lloyd Jones ; illustrated by Alan Marks</v>
      </c>
      <c r="G2693" s="3" t="str">
        <f>"Usborne"</f>
        <v>Usborne</v>
      </c>
      <c r="H2693" s="2" t="str">
        <f>"2008"</f>
        <v>2008</v>
      </c>
      <c r="I2693" s="2" t="s">
        <v>2</v>
      </c>
    </row>
    <row r="2694" spans="1:9" x14ac:dyDescent="0.3">
      <c r="A2694" s="2">
        <v>2693</v>
      </c>
      <c r="B2694" s="4" t="s">
        <v>38</v>
      </c>
      <c r="C2694" s="3" t="str">
        <f>"TFC000001821"</f>
        <v>TFC000001821</v>
      </c>
      <c r="D2694" s="3" t="str">
        <f>"F800-20-2014-(AR 3.7)"</f>
        <v>F800-20-2014-(AR 3.7)</v>
      </c>
      <c r="E2694" s="3" t="str">
        <f>"(Stories of)monsters"</f>
        <v>(Stories of)monsters</v>
      </c>
      <c r="F2694" s="3" t="str">
        <f>"Russell Punter ; illustrated by Mike Phillips"</f>
        <v>Russell Punter ; illustrated by Mike Phillips</v>
      </c>
      <c r="G2694" s="3" t="str">
        <f>"Usborne"</f>
        <v>Usborne</v>
      </c>
      <c r="H2694" s="2" t="str">
        <f>"2004"</f>
        <v>2004</v>
      </c>
      <c r="I2694" s="2" t="s">
        <v>2</v>
      </c>
    </row>
    <row r="2695" spans="1:9" x14ac:dyDescent="0.3">
      <c r="A2695" s="2">
        <v>2694</v>
      </c>
      <c r="B2695" s="4" t="s">
        <v>38</v>
      </c>
      <c r="C2695" s="3" t="str">
        <f>"TFC000001775"</f>
        <v>TFC000001775</v>
      </c>
      <c r="D2695" s="3" t="str">
        <f>"F800-20-1969-(AR 3.7)"</f>
        <v>F800-20-1969-(AR 3.7)</v>
      </c>
      <c r="E2695" s="3" t="str">
        <f>"Alice through the looking-glass"</f>
        <v>Alice through the looking-glass</v>
      </c>
      <c r="F2695" s="3" t="str">
        <f>"Lewis Carroll ; adapted by Lesley Sims ; illustrated by Mauro Evangelista"</f>
        <v>Lewis Carroll ; adapted by Lesley Sims ; illustrated by Mauro Evangelista</v>
      </c>
      <c r="G2695" s="3" t="str">
        <f>"Usborne"</f>
        <v>Usborne</v>
      </c>
      <c r="H2695" s="2" t="str">
        <f>"2009"</f>
        <v>2009</v>
      </c>
      <c r="I2695" s="2" t="s">
        <v>2</v>
      </c>
    </row>
    <row r="2696" spans="1:9" x14ac:dyDescent="0.3">
      <c r="A2696" s="2">
        <v>2695</v>
      </c>
      <c r="B2696" s="4" t="s">
        <v>38</v>
      </c>
      <c r="C2696" s="3" t="str">
        <f>"TFC000001774"</f>
        <v>TFC000001774</v>
      </c>
      <c r="D2696" s="3" t="str">
        <f>"F800-20-1968-(AR 3.7)"</f>
        <v>F800-20-1968-(AR 3.7)</v>
      </c>
      <c r="E2696" s="3" t="str">
        <f>"(A)little princess"</f>
        <v>(A)little princess</v>
      </c>
      <c r="F2696" s="3" t="str">
        <f>"based on the story by Frances Hodgson Burnett ; adapted by Susanna Davidson ; illustrated by Kate Aldous"</f>
        <v>based on the story by Frances Hodgson Burnett ; adapted by Susanna Davidson ; illustrated by Kate Aldous</v>
      </c>
      <c r="G2696" s="3" t="str">
        <f>"Usborne"</f>
        <v>Usborne</v>
      </c>
      <c r="H2696" s="2" t="str">
        <f>"2005"</f>
        <v>2005</v>
      </c>
      <c r="I2696" s="2" t="s">
        <v>2</v>
      </c>
    </row>
    <row r="2697" spans="1:9" x14ac:dyDescent="0.3">
      <c r="A2697" s="2">
        <v>2696</v>
      </c>
      <c r="B2697" s="4" t="s">
        <v>38</v>
      </c>
      <c r="C2697" s="3" t="str">
        <f>"TFC000001832"</f>
        <v>TFC000001832</v>
      </c>
      <c r="D2697" s="3" t="str">
        <f>"F800-20-2025-(AR 3.7)"</f>
        <v>F800-20-2025-(AR 3.7)</v>
      </c>
      <c r="E2697" s="3" t="str">
        <f>"(The amazing adventures of)Ulysses"</f>
        <v>(The amazing adventures of)Ulysses</v>
      </c>
      <c r="F2697" s="3" t="str">
        <f>"retold by Vivian Webb, Heather Amery ; adapted by Katie Daynes ; illustrated by Stephen Cartwright"</f>
        <v>retold by Vivian Webb, Heather Amery ; adapted by Katie Daynes ; illustrated by Stephen Cartwright</v>
      </c>
      <c r="G2697" s="3" t="str">
        <f>"Usborne"</f>
        <v>Usborne</v>
      </c>
      <c r="H2697" s="2" t="str">
        <f>"2007"</f>
        <v>2007</v>
      </c>
      <c r="I2697" s="2" t="s">
        <v>2</v>
      </c>
    </row>
    <row r="2698" spans="1:9" x14ac:dyDescent="0.3">
      <c r="A2698" s="2">
        <v>2697</v>
      </c>
      <c r="B2698" s="4" t="s">
        <v>38</v>
      </c>
      <c r="C2698" s="3" t="str">
        <f>"TFC000001763"</f>
        <v>TFC000001763</v>
      </c>
      <c r="D2698" s="3" t="str">
        <f>"F400-20-1957-(AR 3.7)"</f>
        <v>F400-20-1957-(AR 3.7)</v>
      </c>
      <c r="E2698" s="3" t="str">
        <f>"Ice Mummy"</f>
        <v>Ice Mummy</v>
      </c>
      <c r="F2698" s="3" t="str">
        <f>"by Mark Dubowski, Cathy East Dubowski"</f>
        <v>by Mark Dubowski, Cathy East Dubowski</v>
      </c>
      <c r="G2698" s="3" t="str">
        <f>"Random House"</f>
        <v>Random House</v>
      </c>
      <c r="H2698" s="2" t="str">
        <f>"2005"</f>
        <v>2005</v>
      </c>
      <c r="I2698" s="3" t="str">
        <f>""</f>
        <v/>
      </c>
    </row>
    <row r="2699" spans="1:9" x14ac:dyDescent="0.3">
      <c r="A2699" s="2">
        <v>2698</v>
      </c>
      <c r="B2699" s="4" t="s">
        <v>38</v>
      </c>
      <c r="C2699" s="3" t="str">
        <f>"TFC000001764"</f>
        <v>TFC000001764</v>
      </c>
      <c r="D2699" s="3" t="str">
        <f>"F400-20-1958-(AR 3.7)"</f>
        <v>F400-20-1958-(AR 3.7)</v>
      </c>
      <c r="E2699" s="3" t="str">
        <f>"How animal babies stay safe"</f>
        <v>How animal babies stay safe</v>
      </c>
      <c r="F2699" s="3" t="str">
        <f>"by Mary Ann Fraser"</f>
        <v>by Mary Ann Fraser</v>
      </c>
      <c r="G2699" s="3" t="str">
        <f>"HarperCollins:HarperTrophy"</f>
        <v>HarperCollins:HarperTrophy</v>
      </c>
      <c r="H2699" s="2" t="str">
        <f>"2002"</f>
        <v>2002</v>
      </c>
      <c r="I2699" s="3" t="str">
        <f>""</f>
        <v/>
      </c>
    </row>
    <row r="2700" spans="1:9" x14ac:dyDescent="0.3">
      <c r="A2700" s="2">
        <v>2699</v>
      </c>
      <c r="B2700" s="4" t="s">
        <v>38</v>
      </c>
      <c r="C2700" s="3" t="str">
        <f>"TFC000001765"</f>
        <v>TFC000001765</v>
      </c>
      <c r="D2700" s="3" t="str">
        <f>"F500-20-1959-(AR 3.7)"</f>
        <v>F500-20-1959-(AR 3.7)</v>
      </c>
      <c r="E2700" s="3" t="str">
        <f>"Me and my amazing body"</f>
        <v>Me and my amazing body</v>
      </c>
      <c r="F2700" s="3" t="str">
        <f>"by Joan Sweeney ; illustrated by Edward Miller"</f>
        <v>by Joan Sweeney ; illustrated by Edward Miller</v>
      </c>
      <c r="G2700" s="3" t="str">
        <f>"Dragonfly Books"</f>
        <v>Dragonfly Books</v>
      </c>
      <c r="H2700" s="2" t="str">
        <f>"2018"</f>
        <v>2018</v>
      </c>
      <c r="I2700" s="3" t="str">
        <f>""</f>
        <v/>
      </c>
    </row>
    <row r="2701" spans="1:9" x14ac:dyDescent="0.3">
      <c r="A2701" s="2">
        <v>2700</v>
      </c>
      <c r="B2701" s="4" t="s">
        <v>38</v>
      </c>
      <c r="C2701" s="3" t="str">
        <f>"TFC000001766"</f>
        <v>TFC000001766</v>
      </c>
      <c r="D2701" s="3" t="str">
        <f>"F500-20-1960-(AR 3.7)"</f>
        <v>F500-20-1960-(AR 3.7)</v>
      </c>
      <c r="E2701" s="3" t="str">
        <f>"Germs make me sick!"</f>
        <v>Germs make me sick!</v>
      </c>
      <c r="F2701" s="3" t="str">
        <f>"by Melvin Berger ; illustrated by Marylin Hafner"</f>
        <v>by Melvin Berger ; illustrated by Marylin Hafner</v>
      </c>
      <c r="G2701" s="3" t="str">
        <f>"Harper"</f>
        <v>Harper</v>
      </c>
      <c r="H2701" s="2" t="str">
        <f>"2015"</f>
        <v>2015</v>
      </c>
      <c r="I2701" s="3" t="str">
        <f>""</f>
        <v/>
      </c>
    </row>
    <row r="2702" spans="1:9" x14ac:dyDescent="0.3">
      <c r="A2702" s="2">
        <v>2701</v>
      </c>
      <c r="B2702" s="4" t="s">
        <v>38</v>
      </c>
      <c r="C2702" s="3" t="str">
        <f>"TFC000001767"</f>
        <v>TFC000001767</v>
      </c>
      <c r="D2702" s="3" t="str">
        <f>"F500-20-1961-(AR 3.7)"</f>
        <v>F500-20-1961-(AR 3.7)</v>
      </c>
      <c r="E2702" s="3" t="str">
        <f>"Picking apples &amp; pumpkins"</f>
        <v>Picking apples &amp; pumpkins</v>
      </c>
      <c r="F2702" s="3" t="str">
        <f>"by Amy Hutchings, Richard Hutchings"</f>
        <v>by Amy Hutchings, Richard Hutchings</v>
      </c>
      <c r="G2702" s="3" t="str">
        <f>"Scholastic"</f>
        <v>Scholastic</v>
      </c>
      <c r="H2702" s="2" t="str">
        <f>"1994"</f>
        <v>1994</v>
      </c>
      <c r="I2702" s="3" t="str">
        <f>""</f>
        <v/>
      </c>
    </row>
    <row r="2703" spans="1:9" x14ac:dyDescent="0.3">
      <c r="A2703" s="2">
        <v>2702</v>
      </c>
      <c r="B2703" s="4" t="s">
        <v>38</v>
      </c>
      <c r="C2703" s="3" t="str">
        <f>"TFC000001768"</f>
        <v>TFC000001768</v>
      </c>
      <c r="D2703" s="3" t="str">
        <f>"F500-20-1962-(AR 3.7)"</f>
        <v>F500-20-1962-(AR 3.7)</v>
      </c>
      <c r="E2703" s="3" t="str">
        <f>"(The)construction alphabet book"</f>
        <v>(The)construction alphabet book</v>
      </c>
      <c r="F2703" s="3" t="str">
        <f>"Jerry Pallotta ; illustrated by Rob Bolster"</f>
        <v>Jerry Pallotta ; illustrated by Rob Bolster</v>
      </c>
      <c r="G2703" s="3" t="str">
        <f>"Scholastic"</f>
        <v>Scholastic</v>
      </c>
      <c r="H2703" s="2" t="str">
        <f>"2006"</f>
        <v>2006</v>
      </c>
      <c r="I2703" s="3" t="str">
        <f>""</f>
        <v/>
      </c>
    </row>
    <row r="2704" spans="1:9" x14ac:dyDescent="0.3">
      <c r="A2704" s="2">
        <v>2703</v>
      </c>
      <c r="B2704" s="4" t="s">
        <v>38</v>
      </c>
      <c r="C2704" s="3" t="str">
        <f>"TFC000001769"</f>
        <v>TFC000001769</v>
      </c>
      <c r="D2704" s="3" t="str">
        <f>"F500-20-1963-(AR 3.7)"</f>
        <v>F500-20-1963-(AR 3.7)</v>
      </c>
      <c r="E2704" s="3" t="str">
        <f>"At the waterworks"</f>
        <v>At the waterworks</v>
      </c>
      <c r="F2704" s="3" t="str">
        <f>"by Joanna Cole ; illustrated by Bruce Degen"</f>
        <v>by Joanna Cole ; illustrated by Bruce Degen</v>
      </c>
      <c r="G2704" s="3" t="str">
        <f>"Scholastic"</f>
        <v>Scholastic</v>
      </c>
      <c r="H2704" s="2" t="str">
        <f>"1986"</f>
        <v>1986</v>
      </c>
      <c r="I2704" s="3" t="str">
        <f>""</f>
        <v/>
      </c>
    </row>
    <row r="2705" spans="1:9" x14ac:dyDescent="0.3">
      <c r="A2705" s="2">
        <v>2704</v>
      </c>
      <c r="B2705" s="4" t="s">
        <v>38</v>
      </c>
      <c r="C2705" s="3" t="str">
        <f>"TFC000001770"</f>
        <v>TFC000001770</v>
      </c>
      <c r="D2705" s="3" t="str">
        <f>"F500-20-1964-(AR 3.7)"</f>
        <v>F500-20-1964-(AR 3.7)</v>
      </c>
      <c r="E2705" s="3" t="str">
        <f>"Blows its top : a book about volcanoes"</f>
        <v>Blows its top : a book about volcanoes</v>
      </c>
      <c r="F2705" s="3" t="str">
        <f>"written by Joanna Cole ; illustrated by Bruce Degen"</f>
        <v>written by Joanna Cole ; illustrated by Bruce Degen</v>
      </c>
      <c r="G2705" s="3" t="str">
        <f>"Scholastic"</f>
        <v>Scholastic</v>
      </c>
      <c r="H2705" s="2" t="str">
        <f>"1996"</f>
        <v>1996</v>
      </c>
      <c r="I2705" s="3" t="str">
        <f>""</f>
        <v/>
      </c>
    </row>
    <row r="2706" spans="1:9" x14ac:dyDescent="0.3">
      <c r="A2706" s="2">
        <v>2705</v>
      </c>
      <c r="B2706" s="4" t="s">
        <v>38</v>
      </c>
      <c r="C2706" s="3" t="str">
        <f>"TFC000001771"</f>
        <v>TFC000001771</v>
      </c>
      <c r="D2706" s="3" t="str">
        <f>"F600-20-1965-(AR 3.7)"</f>
        <v>F600-20-1965-(AR 3.7)</v>
      </c>
      <c r="E2706" s="3" t="str">
        <f>"How a house is built"</f>
        <v>How a house is built</v>
      </c>
      <c r="F2706" s="3" t="str">
        <f>"by Gail Gibbons"</f>
        <v>by Gail Gibbons</v>
      </c>
      <c r="G2706" s="3" t="str">
        <f>"Holiday House"</f>
        <v>Holiday House</v>
      </c>
      <c r="H2706" s="2" t="str">
        <f>"2020"</f>
        <v>2020</v>
      </c>
      <c r="I2706" s="3" t="str">
        <f>""</f>
        <v/>
      </c>
    </row>
    <row r="2707" spans="1:9" x14ac:dyDescent="0.3">
      <c r="A2707" s="2">
        <v>2706</v>
      </c>
      <c r="B2707" s="4" t="s">
        <v>38</v>
      </c>
      <c r="C2707" s="3" t="str">
        <f>"TFC000001772"</f>
        <v>TFC000001772</v>
      </c>
      <c r="D2707" s="3" t="str">
        <f>"F600-20-1966-(AR 3.7)"</f>
        <v>F600-20-1966-(AR 3.7)</v>
      </c>
      <c r="E2707" s="3" t="str">
        <f>"(The)Man who walked between the towers"</f>
        <v>(The)Man who walked between the towers</v>
      </c>
      <c r="F2707" s="3" t="str">
        <f>"Mordicai Gerstein"</f>
        <v>Mordicai Gerstein</v>
      </c>
      <c r="G2707" s="3" t="str">
        <f>"Roaring Brook press"</f>
        <v>Roaring Brook press</v>
      </c>
      <c r="H2707" s="2" t="str">
        <f>"2007"</f>
        <v>2007</v>
      </c>
      <c r="I2707" s="3" t="str">
        <f>""</f>
        <v/>
      </c>
    </row>
    <row r="2708" spans="1:9" x14ac:dyDescent="0.3">
      <c r="A2708" s="2">
        <v>2707</v>
      </c>
      <c r="B2708" s="4" t="s">
        <v>38</v>
      </c>
      <c r="C2708" s="3" t="str">
        <f>"TFC000001776"</f>
        <v>TFC000001776</v>
      </c>
      <c r="D2708" s="3" t="str">
        <f>"F800-20-1970-(AR 3.7)"</f>
        <v>F800-20-1970-(AR 3.7)</v>
      </c>
      <c r="E2708" s="3" t="str">
        <f>"(The)berenstain bears and the trouble with chores"</f>
        <v>(The)berenstain bears and the trouble with chores</v>
      </c>
      <c r="F2708" s="3" t="str">
        <f>"Stan Berenstain, Jan Berenstain"</f>
        <v>Stan Berenstain, Jan Berenstain</v>
      </c>
      <c r="G2708" s="3" t="str">
        <f>"HarperFestival"</f>
        <v>HarperFestival</v>
      </c>
      <c r="H2708" s="2" t="str">
        <f>"2005"</f>
        <v>2005</v>
      </c>
      <c r="I2708" s="3" t="str">
        <f>""</f>
        <v/>
      </c>
    </row>
    <row r="2709" spans="1:9" x14ac:dyDescent="0.3">
      <c r="A2709" s="2">
        <v>2708</v>
      </c>
      <c r="B2709" s="4" t="s">
        <v>38</v>
      </c>
      <c r="C2709" s="3" t="str">
        <f>"TFC000001777"</f>
        <v>TFC000001777</v>
      </c>
      <c r="D2709" s="3" t="str">
        <f>"F800-20-1971-(AR 3.7)"</f>
        <v>F800-20-1971-(AR 3.7)</v>
      </c>
      <c r="E2709" s="3" t="str">
        <f>"(The)berenstain bears go on a ghost walk"</f>
        <v>(The)berenstain bears go on a ghost walk</v>
      </c>
      <c r="F2709" s="3" t="str">
        <f>"by Stan Berenstain ; Jan Berenstain"</f>
        <v>by Stan Berenstain ; Jan Berenstain</v>
      </c>
      <c r="G2709" s="3" t="str">
        <f>"HarperFestival"</f>
        <v>HarperFestival</v>
      </c>
      <c r="H2709" s="2" t="str">
        <f>"2005"</f>
        <v>2005</v>
      </c>
      <c r="I2709" s="3" t="str">
        <f>""</f>
        <v/>
      </c>
    </row>
    <row r="2710" spans="1:9" x14ac:dyDescent="0.3">
      <c r="A2710" s="2">
        <v>2709</v>
      </c>
      <c r="B2710" s="4" t="s">
        <v>38</v>
      </c>
      <c r="C2710" s="3" t="str">
        <f>"TFC000001779"</f>
        <v>TFC000001779</v>
      </c>
      <c r="D2710" s="3" t="str">
        <f>"F800-20-1973-(AR 3.7)"</f>
        <v>F800-20-1973-(AR 3.7)</v>
      </c>
      <c r="E2710" s="3" t="str">
        <f>"(A)house for hermit crab"</f>
        <v>(A)house for hermit crab</v>
      </c>
      <c r="F2710" s="3" t="str">
        <f>"by Eric Carle"</f>
        <v>by Eric Carle</v>
      </c>
      <c r="G2710" s="3" t="str">
        <f>"Aladdin Paperbacks"</f>
        <v>Aladdin Paperbacks</v>
      </c>
      <c r="H2710" s="2" t="str">
        <f>"2002"</f>
        <v>2002</v>
      </c>
      <c r="I2710" s="3" t="str">
        <f>""</f>
        <v/>
      </c>
    </row>
    <row r="2711" spans="1:9" x14ac:dyDescent="0.3">
      <c r="A2711" s="2">
        <v>2710</v>
      </c>
      <c r="B2711" s="4" t="s">
        <v>38</v>
      </c>
      <c r="C2711" s="3" t="str">
        <f>"TFC000001780"</f>
        <v>TFC000001780</v>
      </c>
      <c r="D2711" s="3" t="str">
        <f>"F800-20-1974-(AR 3.7)"</f>
        <v>F800-20-1974-(AR 3.7)</v>
      </c>
      <c r="E2711" s="3" t="str">
        <f>"Five true dog stories"</f>
        <v>Five true dog stories</v>
      </c>
      <c r="F2711" s="3" t="str">
        <f>"by Margaret Davidson ; illustrated by Susanne Suba"</f>
        <v>by Margaret Davidson ; illustrated by Susanne Suba</v>
      </c>
      <c r="G2711" s="3" t="str">
        <f>"Scholastic"</f>
        <v>Scholastic</v>
      </c>
      <c r="H2711" s="2" t="str">
        <f>"1977"</f>
        <v>1977</v>
      </c>
      <c r="I2711" s="3" t="str">
        <f>""</f>
        <v/>
      </c>
    </row>
    <row r="2712" spans="1:9" x14ac:dyDescent="0.3">
      <c r="A2712" s="2">
        <v>2711</v>
      </c>
      <c r="B2712" s="4" t="s">
        <v>38</v>
      </c>
      <c r="C2712" s="3" t="str">
        <f>"TFC000001781"</f>
        <v>TFC000001781</v>
      </c>
      <c r="D2712" s="3" t="str">
        <f>"F800-20-1975-(AR 3.7)"</f>
        <v>F800-20-1975-(AR 3.7)</v>
      </c>
      <c r="E2712" s="3" t="str">
        <f>"(The)patchwork quilt"</f>
        <v>(The)patchwork quilt</v>
      </c>
      <c r="F2712" s="3" t="str">
        <f>"by Valerie Flournoy ; pictures by Jerry Pinkney"</f>
        <v>by Valerie Flournoy ; pictures by Jerry Pinkney</v>
      </c>
      <c r="G2712" s="3" t="str">
        <f>"Dial Books for Young Readers"</f>
        <v>Dial Books for Young Readers</v>
      </c>
      <c r="H2712" s="2" t="str">
        <f>"1985"</f>
        <v>1985</v>
      </c>
      <c r="I2712" s="3" t="str">
        <f>""</f>
        <v/>
      </c>
    </row>
    <row r="2713" spans="1:9" x14ac:dyDescent="0.3">
      <c r="A2713" s="2">
        <v>2712</v>
      </c>
      <c r="B2713" s="4" t="s">
        <v>38</v>
      </c>
      <c r="C2713" s="3" t="str">
        <f>"TFC000001782"</f>
        <v>TFC000001782</v>
      </c>
      <c r="D2713" s="3" t="str">
        <f>"F800-20-1976-(AR 3.7)"</f>
        <v>F800-20-1976-(AR 3.7)</v>
      </c>
      <c r="E2713" s="3" t="str">
        <f>"Tell a lie and your butt will grow"</f>
        <v>Tell a lie and your butt will grow</v>
      </c>
      <c r="F2713" s="3" t="str">
        <f>"by Dan Greenburg, illustrated by Jack E. Davis"</f>
        <v>by Dan Greenburg, illustrated by Jack E. Davis</v>
      </c>
      <c r="G2713" s="3" t="str">
        <f>"Grosset &amp; Dunlap"</f>
        <v>Grosset &amp; Dunlap</v>
      </c>
      <c r="H2713" s="2" t="str">
        <f>"2002"</f>
        <v>2002</v>
      </c>
      <c r="I2713" s="3" t="str">
        <f>""</f>
        <v/>
      </c>
    </row>
    <row r="2714" spans="1:9" x14ac:dyDescent="0.3">
      <c r="A2714" s="2">
        <v>2713</v>
      </c>
      <c r="B2714" s="4" t="s">
        <v>38</v>
      </c>
      <c r="C2714" s="3" t="str">
        <f>"TFC000001783"</f>
        <v>TFC000001783</v>
      </c>
      <c r="D2714" s="3" t="str">
        <f>"F800-20-1977-(AR 3.7)"</f>
        <v>F800-20-1977-(AR 3.7)</v>
      </c>
      <c r="E2714" s="3" t="str">
        <f>"Just add water... and scream!"</f>
        <v>Just add water... and scream!</v>
      </c>
      <c r="F2714" s="3" t="str">
        <f>"by Dan Greenburg ; illustrated by Jack E. Davis"</f>
        <v>by Dan Greenburg ; illustrated by Jack E. Davis</v>
      </c>
      <c r="G2714" s="3" t="str">
        <f>"Grosset &amp; Dunlap"</f>
        <v>Grosset &amp; Dunlap</v>
      </c>
      <c r="H2714" s="2" t="str">
        <f>"2002"</f>
        <v>2002</v>
      </c>
      <c r="I2714" s="3" t="str">
        <f>""</f>
        <v/>
      </c>
    </row>
    <row r="2715" spans="1:9" x14ac:dyDescent="0.3">
      <c r="A2715" s="2">
        <v>2714</v>
      </c>
      <c r="B2715" s="4" t="s">
        <v>38</v>
      </c>
      <c r="C2715" s="3" t="str">
        <f>"TFC000001784"</f>
        <v>TFC000001784</v>
      </c>
      <c r="D2715" s="3" t="str">
        <f>"F800-20-1978-(AR 3.7)"</f>
        <v>F800-20-1978-(AR 3.7)</v>
      </c>
      <c r="E2715" s="3" t="str">
        <f>"(The)story of Ferdinand"</f>
        <v>(The)story of Ferdinand</v>
      </c>
      <c r="F2715" s="3" t="str">
        <f>"by Munro Leaf ; illustrated by Robert Lawson"</f>
        <v>by Munro Leaf ; illustrated by Robert Lawson</v>
      </c>
      <c r="G2715" s="3" t="str">
        <f>"Puffin Books"</f>
        <v>Puffin Books</v>
      </c>
      <c r="H2715" s="2" t="str">
        <f>"1977"</f>
        <v>1977</v>
      </c>
      <c r="I2715" s="3" t="str">
        <f>""</f>
        <v/>
      </c>
    </row>
    <row r="2716" spans="1:9" x14ac:dyDescent="0.3">
      <c r="A2716" s="2">
        <v>2715</v>
      </c>
      <c r="B2716" s="4" t="s">
        <v>38</v>
      </c>
      <c r="C2716" s="3" t="str">
        <f>"TFC000001785"</f>
        <v>TFC000001785</v>
      </c>
      <c r="D2716" s="3" t="str">
        <f>"F800-20-1979-(AR 3.7)"</f>
        <v>F800-20-1979-(AR 3.7)</v>
      </c>
      <c r="E2716" s="3" t="str">
        <f>"(The)story of Ferdinand"</f>
        <v>(The)story of Ferdinand</v>
      </c>
      <c r="F2716" s="3" t="str">
        <f>"by Munro Leaf ; drawings by Robert Lawson"</f>
        <v>by Munro Leaf ; drawings by Robert Lawson</v>
      </c>
      <c r="G2716" s="3" t="str">
        <f>"Viking"</f>
        <v>Viking</v>
      </c>
      <c r="H2716" s="2" t="str">
        <f>"2011"</f>
        <v>2011</v>
      </c>
      <c r="I2716" s="3" t="str">
        <f>""</f>
        <v/>
      </c>
    </row>
    <row r="2717" spans="1:9" x14ac:dyDescent="0.3">
      <c r="A2717" s="2">
        <v>2716</v>
      </c>
      <c r="B2717" s="4" t="s">
        <v>38</v>
      </c>
      <c r="C2717" s="3" t="str">
        <f>"TFC000001786"</f>
        <v>TFC000001786</v>
      </c>
      <c r="D2717" s="3" t="str">
        <f>"F800-20-1980-(AR 3.7)"</f>
        <v>F800-20-1980-(AR 3.7)</v>
      </c>
      <c r="E2717" s="3" t="str">
        <f>"Wonderful Alexander and the Catwings"</f>
        <v>Wonderful Alexander and the Catwings</v>
      </c>
      <c r="F2717" s="3" t="str">
        <f>"by Ursula K. Le Guin ; illustrated by S.D. Schindler"</f>
        <v>by Ursula K. Le Guin ; illustrated by S.D. Schindler</v>
      </c>
      <c r="G2717" s="3" t="str">
        <f>"Scholastic"</f>
        <v>Scholastic</v>
      </c>
      <c r="H2717" s="2" t="str">
        <f>"2006"</f>
        <v>2006</v>
      </c>
      <c r="I2717" s="3" t="str">
        <f>""</f>
        <v/>
      </c>
    </row>
    <row r="2718" spans="1:9" x14ac:dyDescent="0.3">
      <c r="A2718" s="2">
        <v>2717</v>
      </c>
      <c r="B2718" s="4" t="s">
        <v>38</v>
      </c>
      <c r="C2718" s="3" t="str">
        <f>"TFC000001787"</f>
        <v>TFC000001787</v>
      </c>
      <c r="D2718" s="3" t="str">
        <f>"F800-20-1981-(AR 3.7)"</f>
        <v>F800-20-1981-(AR 3.7)</v>
      </c>
      <c r="E2718" s="3" t="str">
        <f>"Fish is fish"</f>
        <v>Fish is fish</v>
      </c>
      <c r="F2718" s="3" t="str">
        <f>"Leo Lionni"</f>
        <v>Leo Lionni</v>
      </c>
      <c r="G2718" s="3" t="str">
        <f>"Alfred A. Knopf"</f>
        <v>Alfred A. Knopf</v>
      </c>
      <c r="H2718" s="2" t="str">
        <f>"2005"</f>
        <v>2005</v>
      </c>
      <c r="I2718" s="3" t="str">
        <f>""</f>
        <v/>
      </c>
    </row>
    <row r="2719" spans="1:9" x14ac:dyDescent="0.3">
      <c r="A2719" s="2">
        <v>2718</v>
      </c>
      <c r="B2719" s="4" t="s">
        <v>38</v>
      </c>
      <c r="C2719" s="3" t="str">
        <f>"TFC000001788"</f>
        <v>TFC000001788</v>
      </c>
      <c r="D2719" s="3" t="str">
        <f>"F800-20-1982-(AR 3.7)"</f>
        <v>F800-20-1982-(AR 3.7)</v>
      </c>
      <c r="E2719" s="3" t="str">
        <f>"(The)canterville ghost"</f>
        <v>(The)canterville ghost</v>
      </c>
      <c r="F2719" s="3" t="str">
        <f>"from the story by Oscar Wilde ; adapted by Susanna Davidson ; illustrated by Alan Marks"</f>
        <v>from the story by Oscar Wilde ; adapted by Susanna Davidson ; illustrated by Alan Marks</v>
      </c>
      <c r="G2719" s="3" t="str">
        <f>"Usborne"</f>
        <v>Usborne</v>
      </c>
      <c r="H2719" s="2" t="str">
        <f>"2006"</f>
        <v>2006</v>
      </c>
      <c r="I2719" s="3" t="str">
        <f>""</f>
        <v/>
      </c>
    </row>
    <row r="2720" spans="1:9" x14ac:dyDescent="0.3">
      <c r="A2720" s="2">
        <v>2719</v>
      </c>
      <c r="B2720" s="4" t="s">
        <v>38</v>
      </c>
      <c r="C2720" s="3" t="str">
        <f>"TFC000001794"</f>
        <v>TFC000001794</v>
      </c>
      <c r="D2720" s="3" t="str">
        <f>"F800-20-1988-(AR 3.7)"</f>
        <v>F800-20-1988-(AR 3.7)</v>
      </c>
      <c r="E2720" s="3" t="str">
        <f>"Happy birthday Madame Chapeau"</f>
        <v>Happy birthday Madame Chapeau</v>
      </c>
      <c r="F2720" s="3" t="str">
        <f>"words by Andrea Beaty ; pictures by David Roberts"</f>
        <v>words by Andrea Beaty ; pictures by David Roberts</v>
      </c>
      <c r="G2720" s="3" t="str">
        <f>"Abrams Books for Young Readers"</f>
        <v>Abrams Books for Young Readers</v>
      </c>
      <c r="H2720" s="2" t="str">
        <f>"2014"</f>
        <v>2014</v>
      </c>
      <c r="I2720" s="3" t="str">
        <f>""</f>
        <v/>
      </c>
    </row>
    <row r="2721" spans="1:9" x14ac:dyDescent="0.3">
      <c r="A2721" s="2">
        <v>2720</v>
      </c>
      <c r="B2721" s="4" t="s">
        <v>38</v>
      </c>
      <c r="C2721" s="3" t="str">
        <f>"TFC000001795"</f>
        <v>TFC000001795</v>
      </c>
      <c r="D2721" s="3" t="str">
        <f>"F800-20-1989-(AR 3.7)"</f>
        <v>F800-20-1989-(AR 3.7)</v>
      </c>
      <c r="E2721" s="3" t="str">
        <f>"Bad Kitty gets a bath"</f>
        <v>Bad Kitty gets a bath</v>
      </c>
      <c r="F2721" s="3" t="str">
        <f>"Nick Bruel"</f>
        <v>Nick Bruel</v>
      </c>
      <c r="G2721" s="3" t="str">
        <f>"Roaring Brook Press"</f>
        <v>Roaring Brook Press</v>
      </c>
      <c r="H2721" s="2" t="str">
        <f>"2008"</f>
        <v>2008</v>
      </c>
      <c r="I2721" s="3" t="str">
        <f>""</f>
        <v/>
      </c>
    </row>
    <row r="2722" spans="1:9" x14ac:dyDescent="0.3">
      <c r="A2722" s="2">
        <v>2721</v>
      </c>
      <c r="B2722" s="4" t="s">
        <v>38</v>
      </c>
      <c r="C2722" s="3" t="str">
        <f>"TFC000001796"</f>
        <v>TFC000001796</v>
      </c>
      <c r="D2722" s="3" t="str">
        <f>"F800-20-1990-(AR 3.7)"</f>
        <v>F800-20-1990-(AR 3.7)</v>
      </c>
      <c r="E2722" s="3" t="str">
        <f>"Our friend hedgehog : the story of us"</f>
        <v>Our friend hedgehog : the story of us</v>
      </c>
      <c r="F2722" s="3" t="str">
        <f>"Lauren Castillo"</f>
        <v>Lauren Castillo</v>
      </c>
      <c r="G2722" s="3" t="str">
        <f>"Alfred A. Knopf"</f>
        <v>Alfred A. Knopf</v>
      </c>
      <c r="H2722" s="2" t="str">
        <f>"2020"</f>
        <v>2020</v>
      </c>
      <c r="I2722" s="3" t="str">
        <f>""</f>
        <v/>
      </c>
    </row>
    <row r="2723" spans="1:9" x14ac:dyDescent="0.3">
      <c r="A2723" s="2">
        <v>2722</v>
      </c>
      <c r="B2723" s="4" t="s">
        <v>38</v>
      </c>
      <c r="C2723" s="3" t="str">
        <f>"TFC000001797"</f>
        <v>TFC000001797</v>
      </c>
      <c r="D2723" s="3" t="str">
        <f>"F800-20-1991-(AR 3.7)"</f>
        <v>F800-20-1991-(AR 3.7)</v>
      </c>
      <c r="E2723" s="3" t="str">
        <f>"Amber Brown is not a crayon"</f>
        <v>Amber Brown is not a crayon</v>
      </c>
      <c r="F2723" s="3" t="str">
        <f>"by Paula Danziger ; illustrated by Tony Ross"</f>
        <v>by Paula Danziger ; illustrated by Tony Ross</v>
      </c>
      <c r="G2723" s="3" t="str">
        <f>"Penguin Group USA"</f>
        <v>Penguin Group USA</v>
      </c>
      <c r="H2723" s="2" t="str">
        <f>"2010"</f>
        <v>2010</v>
      </c>
      <c r="I2723" s="3" t="str">
        <f>""</f>
        <v/>
      </c>
    </row>
    <row r="2724" spans="1:9" x14ac:dyDescent="0.3">
      <c r="A2724" s="2">
        <v>2723</v>
      </c>
      <c r="B2724" s="4" t="s">
        <v>38</v>
      </c>
      <c r="C2724" s="3" t="str">
        <f>"TFC000001798"</f>
        <v>TFC000001798</v>
      </c>
      <c r="D2724" s="3" t="str">
        <f>"F800-20-1992-(AR 3.7)"</f>
        <v>F800-20-1992-(AR 3.7)</v>
      </c>
      <c r="E2724" s="3" t="str">
        <f>"Nothing's fair in fifth grade"</f>
        <v>Nothing's fair in fifth grade</v>
      </c>
      <c r="F2724" s="3" t="str">
        <f>"Barthe DeClements"</f>
        <v>Barthe DeClements</v>
      </c>
      <c r="G2724" s="3" t="str">
        <f>"Puffin Books"</f>
        <v>Puffin Books</v>
      </c>
      <c r="H2724" s="2" t="str">
        <f>"2009"</f>
        <v>2009</v>
      </c>
      <c r="I2724" s="3" t="str">
        <f>""</f>
        <v/>
      </c>
    </row>
    <row r="2725" spans="1:9" x14ac:dyDescent="0.3">
      <c r="A2725" s="2">
        <v>2724</v>
      </c>
      <c r="B2725" s="4" t="s">
        <v>38</v>
      </c>
      <c r="C2725" s="3" t="str">
        <f>"TFC000001799"</f>
        <v>TFC000001799</v>
      </c>
      <c r="D2725" s="3" t="str">
        <f>"F800-20-1993-(AR 3.7)"</f>
        <v>F800-20-1993-(AR 3.7)</v>
      </c>
      <c r="E2725" s="3" t="str">
        <f>"(The)cloud book"</f>
        <v>(The)cloud book</v>
      </c>
      <c r="F2725" s="3" t="str">
        <f>"words and pictures by Tomie de Paola"</f>
        <v>words and pictures by Tomie de Paola</v>
      </c>
      <c r="G2725" s="3" t="str">
        <f>"Holiday House"</f>
        <v>Holiday House</v>
      </c>
      <c r="H2725" s="2" t="str">
        <f>"2020"</f>
        <v>2020</v>
      </c>
      <c r="I2725" s="3" t="str">
        <f>""</f>
        <v/>
      </c>
    </row>
    <row r="2726" spans="1:9" x14ac:dyDescent="0.3">
      <c r="A2726" s="2">
        <v>2725</v>
      </c>
      <c r="B2726" s="4" t="s">
        <v>38</v>
      </c>
      <c r="C2726" s="3" t="str">
        <f>"TFC000001800"</f>
        <v>TFC000001800</v>
      </c>
      <c r="D2726" s="3" t="str">
        <f>"F800-20-1994-(AR 3.7)"</f>
        <v>F800-20-1994-(AR 3.7)</v>
      </c>
      <c r="E2726" s="3" t="str">
        <f>"Leroy Ninker saddles up"</f>
        <v>Leroy Ninker saddles up</v>
      </c>
      <c r="F2726" s="3" t="str">
        <f>"Kate DiCamillo ; illustrated by Chris Van Dusen"</f>
        <v>Kate DiCamillo ; illustrated by Chris Van Dusen</v>
      </c>
      <c r="G2726" s="3" t="str">
        <f>"Candlewick Press"</f>
        <v>Candlewick Press</v>
      </c>
      <c r="H2726" s="2" t="str">
        <f>"2014"</f>
        <v>2014</v>
      </c>
      <c r="I2726" s="3" t="str">
        <f>""</f>
        <v/>
      </c>
    </row>
    <row r="2727" spans="1:9" x14ac:dyDescent="0.3">
      <c r="A2727" s="2">
        <v>2726</v>
      </c>
      <c r="B2727" s="4" t="s">
        <v>38</v>
      </c>
      <c r="C2727" s="3" t="str">
        <f>"TFC000001803"</f>
        <v>TFC000001803</v>
      </c>
      <c r="D2727" s="3" t="str">
        <f>"F800-20-1997-(AR 3.7)"</f>
        <v>F800-20-1997-(AR 3.7)</v>
      </c>
      <c r="E2727" s="3" t="str">
        <f>"Winter eyes"</f>
        <v>Winter eyes</v>
      </c>
      <c r="F2727" s="3" t="str">
        <f>"poems &amp; paintings by Douglas Florian"</f>
        <v>poems &amp; paintings by Douglas Florian</v>
      </c>
      <c r="G2727" s="3" t="str">
        <f>"Greenwillow Books"</f>
        <v>Greenwillow Books</v>
      </c>
      <c r="H2727" s="2" t="str">
        <f>"1999"</f>
        <v>1999</v>
      </c>
      <c r="I2727" s="3" t="str">
        <f>""</f>
        <v/>
      </c>
    </row>
    <row r="2728" spans="1:9" x14ac:dyDescent="0.3">
      <c r="A2728" s="2">
        <v>2727</v>
      </c>
      <c r="B2728" s="4" t="s">
        <v>38</v>
      </c>
      <c r="C2728" s="3" t="str">
        <f>"TFC000001806"</f>
        <v>TFC000001806</v>
      </c>
      <c r="D2728" s="3" t="str">
        <f>"F800-20-2000-(AR 3.7)"</f>
        <v>F800-20-2000-(AR 3.7)</v>
      </c>
      <c r="E2728" s="3" t="str">
        <f>"Shouting at the rain"</f>
        <v>Shouting at the rain</v>
      </c>
      <c r="F2728" s="3" t="str">
        <f>"Lynda Mullaly Hunt"</f>
        <v>Lynda Mullaly Hunt</v>
      </c>
      <c r="G2728" s="3" t="str">
        <f>"Nancy Paulsen Books"</f>
        <v>Nancy Paulsen Books</v>
      </c>
      <c r="H2728" s="2" t="str">
        <f>"2019"</f>
        <v>2019</v>
      </c>
      <c r="I2728" s="3" t="str">
        <f>""</f>
        <v/>
      </c>
    </row>
    <row r="2729" spans="1:9" x14ac:dyDescent="0.3">
      <c r="A2729" s="2">
        <v>2728</v>
      </c>
      <c r="B2729" s="4" t="s">
        <v>38</v>
      </c>
      <c r="C2729" s="3" t="str">
        <f>"TFC000001807"</f>
        <v>TFC000001807</v>
      </c>
      <c r="D2729" s="3" t="str">
        <f>"F800-20-2001-(AR 3.7)"</f>
        <v>F800-20-2001-(AR 3.7)</v>
      </c>
      <c r="E2729" s="3" t="str">
        <f>"(The)matrix mission"</f>
        <v>(The)matrix mission</v>
      </c>
      <c r="F2729" s="3" t="str">
        <f>"written by Roderick Hunt ; illustrated by Alex Brychta"</f>
        <v>written by Roderick Hunt ; illustrated by Alex Brychta</v>
      </c>
      <c r="G2729" s="3" t="str">
        <f>"Oxford University Press"</f>
        <v>Oxford University Press</v>
      </c>
      <c r="H2729" s="2" t="str">
        <f>"2014"</f>
        <v>2014</v>
      </c>
      <c r="I2729" s="3" t="str">
        <f>""</f>
        <v/>
      </c>
    </row>
    <row r="2730" spans="1:9" x14ac:dyDescent="0.3">
      <c r="A2730" s="2">
        <v>2729</v>
      </c>
      <c r="B2730" s="4" t="s">
        <v>38</v>
      </c>
      <c r="C2730" s="3" t="str">
        <f>"TFC000001810"</f>
        <v>TFC000001810</v>
      </c>
      <c r="D2730" s="3" t="str">
        <f>"F800-20-2004-(AR 3.7)"</f>
        <v>F800-20-2004-(AR 3.7)</v>
      </c>
      <c r="E2730" s="3" t="str">
        <f>"Room on the broom"</f>
        <v>Room on the broom</v>
      </c>
      <c r="F2730" s="3" t="str">
        <f>"by Julia Donaldson ; pictures by Axel Scheffler"</f>
        <v>by Julia Donaldson ; pictures by Axel Scheffler</v>
      </c>
      <c r="G2730" s="3" t="str">
        <f>"Puffin Books"</f>
        <v>Puffin Books</v>
      </c>
      <c r="H2730" s="2" t="str">
        <f>"2003"</f>
        <v>2003</v>
      </c>
      <c r="I2730" s="3" t="str">
        <f>""</f>
        <v/>
      </c>
    </row>
    <row r="2731" spans="1:9" x14ac:dyDescent="0.3">
      <c r="A2731" s="2">
        <v>2730</v>
      </c>
      <c r="B2731" s="4" t="s">
        <v>38</v>
      </c>
      <c r="C2731" s="3" t="str">
        <f>"TFC000001811"</f>
        <v>TFC000001811</v>
      </c>
      <c r="D2731" s="3" t="str">
        <f>"F800-20-2005-(AR 3.7)"</f>
        <v>F800-20-2005-(AR 3.7)</v>
      </c>
      <c r="E2731" s="3" t="str">
        <f>"(The)year we fell from space"</f>
        <v>(The)year we fell from space</v>
      </c>
      <c r="F2731" s="3" t="str">
        <f>"Amy Sarig King"</f>
        <v>Amy Sarig King</v>
      </c>
      <c r="G2731" s="3" t="str">
        <f>"Arthur A. Levine Books"</f>
        <v>Arthur A. Levine Books</v>
      </c>
      <c r="H2731" s="2" t="str">
        <f>"2019"</f>
        <v>2019</v>
      </c>
      <c r="I2731" s="3" t="str">
        <f>""</f>
        <v/>
      </c>
    </row>
    <row r="2732" spans="1:9" x14ac:dyDescent="0.3">
      <c r="A2732" s="2">
        <v>2731</v>
      </c>
      <c r="B2732" s="4" t="s">
        <v>38</v>
      </c>
      <c r="C2732" s="3" t="str">
        <f>"TFC000001812"</f>
        <v>TFC000001812</v>
      </c>
      <c r="D2732" s="3" t="str">
        <f>"F800-20-2006-(AR 3.7)"</f>
        <v>F800-20-2006-(AR 3.7)</v>
      </c>
      <c r="E2732" s="3" t="str">
        <f>"Ruby's chinese new year"</f>
        <v>Ruby's chinese new year</v>
      </c>
      <c r="F2732" s="3" t="str">
        <f>"Vickie Y. Lee ; illustrated by Joey Chou"</f>
        <v>Vickie Y. Lee ; illustrated by Joey Chou</v>
      </c>
      <c r="G2732" s="3" t="str">
        <f>"Henry Holt and Company"</f>
        <v>Henry Holt and Company</v>
      </c>
      <c r="H2732" s="2" t="str">
        <f>"2018"</f>
        <v>2018</v>
      </c>
      <c r="I2732" s="3" t="str">
        <f>""</f>
        <v/>
      </c>
    </row>
    <row r="2733" spans="1:9" x14ac:dyDescent="0.3">
      <c r="A2733" s="2">
        <v>2732</v>
      </c>
      <c r="B2733" s="4" t="s">
        <v>38</v>
      </c>
      <c r="C2733" s="3" t="str">
        <f>"TFC000001813"</f>
        <v>TFC000001813</v>
      </c>
      <c r="D2733" s="3" t="str">
        <f>"F800-20-2007-(AR 3.7)"</f>
        <v>F800-20-2007-(AR 3.7)</v>
      </c>
      <c r="E2733" s="3" t="str">
        <f>"(The)hundred-year barn"</f>
        <v>(The)hundred-year barn</v>
      </c>
      <c r="F2733" s="3" t="str">
        <f>"words by Patricia MacLachlan ; illustrations by Kenard Pak"</f>
        <v>words by Patricia MacLachlan ; illustrations by Kenard Pak</v>
      </c>
      <c r="G2733" s="3" t="str">
        <f>"Katherine Tegen Books"</f>
        <v>Katherine Tegen Books</v>
      </c>
      <c r="H2733" s="2" t="str">
        <f>"2019"</f>
        <v>2019</v>
      </c>
      <c r="I2733" s="3" t="str">
        <f>""</f>
        <v/>
      </c>
    </row>
    <row r="2734" spans="1:9" x14ac:dyDescent="0.3">
      <c r="A2734" s="2">
        <v>2733</v>
      </c>
      <c r="B2734" s="4" t="s">
        <v>38</v>
      </c>
      <c r="C2734" s="3" t="str">
        <f>"TFC000001815"</f>
        <v>TFC000001815</v>
      </c>
      <c r="D2734" s="3" t="str">
        <f>"F800-20-2008-(AR 3.7)"</f>
        <v>F800-20-2008-(AR 3.7)</v>
      </c>
      <c r="E2734" s="3" t="str">
        <f>"Amelia's notebook"</f>
        <v>Amelia's notebook</v>
      </c>
      <c r="F2734" s="3" t="str">
        <f>"by Marissa Moss"</f>
        <v>by Marissa Moss</v>
      </c>
      <c r="G2734" s="3" t="str">
        <f>"Simon &amp; Schuster Books for Young Readers"</f>
        <v>Simon &amp; Schuster Books for Young Readers</v>
      </c>
      <c r="H2734" s="2" t="str">
        <f>"2006"</f>
        <v>2006</v>
      </c>
      <c r="I2734" s="3" t="str">
        <f>""</f>
        <v/>
      </c>
    </row>
    <row r="2735" spans="1:9" x14ac:dyDescent="0.3">
      <c r="A2735" s="2">
        <v>2734</v>
      </c>
      <c r="B2735" s="4" t="s">
        <v>38</v>
      </c>
      <c r="C2735" s="3" t="str">
        <f>"TFC000001818"</f>
        <v>TFC000001818</v>
      </c>
      <c r="D2735" s="3" t="str">
        <f>"F800-20-2011-(AR 3.7)"</f>
        <v>F800-20-2011-(AR 3.7)</v>
      </c>
      <c r="E2735" s="3" t="str">
        <f>"Moonlight on the magic flute"</f>
        <v>Moonlight on the magic flute</v>
      </c>
      <c r="F2735" s="3" t="str">
        <f>"Mary Pope Osborne ; illustrated by Sal Murdocca"</f>
        <v>Mary Pope Osborne ; illustrated by Sal Murdocca</v>
      </c>
      <c r="G2735" s="3" t="str">
        <f>"Random House"</f>
        <v>Random House</v>
      </c>
      <c r="H2735" s="2" t="str">
        <f>"2009"</f>
        <v>2009</v>
      </c>
      <c r="I2735" s="3" t="str">
        <f>""</f>
        <v/>
      </c>
    </row>
    <row r="2736" spans="1:9" x14ac:dyDescent="0.3">
      <c r="A2736" s="2">
        <v>2735</v>
      </c>
      <c r="B2736" s="4" t="s">
        <v>38</v>
      </c>
      <c r="C2736" s="3" t="str">
        <f>"TFC000001819"</f>
        <v>TFC000001819</v>
      </c>
      <c r="D2736" s="3" t="str">
        <f>"F800-20-2012-(AR 3.7)"</f>
        <v>F800-20-2012-(AR 3.7)</v>
      </c>
      <c r="E2736" s="3" t="str">
        <f>"Warriors in winter"</f>
        <v>Warriors in winter</v>
      </c>
      <c r="F2736" s="3" t="str">
        <f>"by Mary Pope Osborne ; illustrated by Ag Ford"</f>
        <v>by Mary Pope Osborne ; illustrated by Ag Ford</v>
      </c>
      <c r="G2736" s="3" t="str">
        <f>"Random House"</f>
        <v>Random House</v>
      </c>
      <c r="H2736" s="2" t="str">
        <f>"2019"</f>
        <v>2019</v>
      </c>
      <c r="I2736" s="3" t="str">
        <f>""</f>
        <v/>
      </c>
    </row>
    <row r="2737" spans="1:9" x14ac:dyDescent="0.3">
      <c r="A2737" s="2">
        <v>2736</v>
      </c>
      <c r="B2737" s="4" t="s">
        <v>38</v>
      </c>
      <c r="C2737" s="3" t="str">
        <f>"TFC000001822"</f>
        <v>TFC000001822</v>
      </c>
      <c r="D2737" s="3" t="str">
        <f>"F800-20-2015-(AR 3.7)"</f>
        <v>F800-20-2015-(AR 3.7)</v>
      </c>
      <c r="E2737" s="3" t="str">
        <f>"Lights! camera! alice! : the thrilling true adventures of the first woman filmmaker"</f>
        <v>Lights! camera! alice! : the thrilling true adventures of the first woman filmmaker</v>
      </c>
      <c r="F2737" s="3" t="str">
        <f>"by Mara Rockliff ; illustrated by Simona Ciraolo"</f>
        <v>by Mara Rockliff ; illustrated by Simona Ciraolo</v>
      </c>
      <c r="G2737" s="3" t="str">
        <f>"Chronicle Books"</f>
        <v>Chronicle Books</v>
      </c>
      <c r="H2737" s="2" t="str">
        <f>"2018"</f>
        <v>2018</v>
      </c>
      <c r="I2737" s="3" t="str">
        <f>""</f>
        <v/>
      </c>
    </row>
    <row r="2738" spans="1:9" x14ac:dyDescent="0.3">
      <c r="A2738" s="2">
        <v>2737</v>
      </c>
      <c r="B2738" s="4" t="s">
        <v>38</v>
      </c>
      <c r="C2738" s="3" t="str">
        <f>"TFC000001824"</f>
        <v>TFC000001824</v>
      </c>
      <c r="D2738" s="3" t="str">
        <f>"F800-20-2017-(AR 3.7)"</f>
        <v>F800-20-2017-(AR 3.7)</v>
      </c>
      <c r="E2738" s="3" t="str">
        <f>"(The)quicksand question"</f>
        <v>(The)quicksand question</v>
      </c>
      <c r="F2738" s="3" t="str">
        <f>"by Ron Roy ; illustrated by John Steven Gurney"</f>
        <v>by Ron Roy ; illustrated by John Steven Gurney</v>
      </c>
      <c r="G2738" s="3" t="str">
        <f>"Random House"</f>
        <v>Random House</v>
      </c>
      <c r="H2738" s="2" t="str">
        <f>"2015"</f>
        <v>2015</v>
      </c>
      <c r="I2738" s="3" t="str">
        <f>""</f>
        <v/>
      </c>
    </row>
    <row r="2739" spans="1:9" x14ac:dyDescent="0.3">
      <c r="A2739" s="2">
        <v>2738</v>
      </c>
      <c r="B2739" s="4" t="s">
        <v>38</v>
      </c>
      <c r="C2739" s="3" t="str">
        <f>"TFC000001825"</f>
        <v>TFC000001825</v>
      </c>
      <c r="D2739" s="3" t="str">
        <f>"F800-20-2018-(AR 3.7)"</f>
        <v>F800-20-2018-(AR 3.7)</v>
      </c>
      <c r="E2739" s="3" t="str">
        <f>"(The)school skeleton"</f>
        <v>(The)school skeleton</v>
      </c>
      <c r="F2739" s="3" t="str">
        <f>"by Ron Roy ; illustrated by John Steven Gurney"</f>
        <v>by Ron Roy ; illustrated by John Steven Gurney</v>
      </c>
      <c r="G2739" s="3" t="str">
        <f>"Random House"</f>
        <v>Random House</v>
      </c>
      <c r="H2739" s="2" t="str">
        <f>"2015"</f>
        <v>2015</v>
      </c>
      <c r="I2739" s="3" t="str">
        <f>""</f>
        <v/>
      </c>
    </row>
    <row r="2740" spans="1:9" x14ac:dyDescent="0.3">
      <c r="A2740" s="2">
        <v>2739</v>
      </c>
      <c r="B2740" s="4" t="s">
        <v>38</v>
      </c>
      <c r="C2740" s="3" t="str">
        <f>"TFC000001826"</f>
        <v>TFC000001826</v>
      </c>
      <c r="D2740" s="3" t="str">
        <f>"F800-20-2019-(AR 3.7)"</f>
        <v>F800-20-2019-(AR 3.7)</v>
      </c>
      <c r="E2740" s="3" t="str">
        <f>"Nothing ever happens on 90th Street"</f>
        <v>Nothing ever happens on 90th Street</v>
      </c>
      <c r="F2740" s="3" t="str">
        <f>"by Roni Schotter ; illustrated by Kyrsten Brooker"</f>
        <v>by Roni Schotter ; illustrated by Kyrsten Brooker</v>
      </c>
      <c r="G2740" s="3" t="str">
        <f>"Scholastic"</f>
        <v>Scholastic</v>
      </c>
      <c r="H2740" s="2" t="str">
        <f>"2001"</f>
        <v>2001</v>
      </c>
      <c r="I2740" s="3" t="str">
        <f>""</f>
        <v/>
      </c>
    </row>
    <row r="2741" spans="1:9" x14ac:dyDescent="0.3">
      <c r="A2741" s="2">
        <v>2740</v>
      </c>
      <c r="B2741" s="4" t="s">
        <v>38</v>
      </c>
      <c r="C2741" s="3" t="str">
        <f>"TFC000001827"</f>
        <v>TFC000001827</v>
      </c>
      <c r="D2741" s="3" t="str">
        <f>"F800-20-2020-(AR 3.7)"</f>
        <v>F800-20-2020-(AR 3.7)</v>
      </c>
      <c r="E2741" s="3" t="str">
        <f>"John, Paul, George ＆ Ben"</f>
        <v>John, Paul, George ＆ Ben</v>
      </c>
      <c r="F2741" s="3" t="str">
        <f>"Lane Smith"</f>
        <v>Lane Smith</v>
      </c>
      <c r="G2741" s="3" t="str">
        <f>"Disney·Hyperion"</f>
        <v>Disney·Hyperion</v>
      </c>
      <c r="H2741" s="2" t="str">
        <f>"2006"</f>
        <v>2006</v>
      </c>
      <c r="I2741" s="3" t="str">
        <f>""</f>
        <v/>
      </c>
    </row>
    <row r="2742" spans="1:9" x14ac:dyDescent="0.3">
      <c r="A2742" s="2">
        <v>2741</v>
      </c>
      <c r="B2742" s="4" t="s">
        <v>38</v>
      </c>
      <c r="C2742" s="3" t="str">
        <f>"TFC000001828"</f>
        <v>TFC000001828</v>
      </c>
      <c r="D2742" s="3" t="str">
        <f>"F800-20-2021-(AR 3.7)"</f>
        <v>F800-20-2021-(AR 3.7)</v>
      </c>
      <c r="E2742" s="3" t="str">
        <f>"Third-grade detectives. 8, the secret of the wooden witness"</f>
        <v>Third-grade detectives. 8, the secret of the wooden witness</v>
      </c>
      <c r="F2742" s="3" t="str">
        <f>"by George E. Stanley ; illustrated by Salvatore Murdocca"</f>
        <v>by George E. Stanley ; illustrated by Salvatore Murdocca</v>
      </c>
      <c r="G2742" s="3" t="str">
        <f>"Aladdin"</f>
        <v>Aladdin</v>
      </c>
      <c r="H2742" s="2" t="str">
        <f>"2004"</f>
        <v>2004</v>
      </c>
      <c r="I2742" s="3" t="str">
        <f>""</f>
        <v/>
      </c>
    </row>
    <row r="2743" spans="1:9" x14ac:dyDescent="0.3">
      <c r="A2743" s="2">
        <v>2742</v>
      </c>
      <c r="B2743" s="4" t="s">
        <v>38</v>
      </c>
      <c r="C2743" s="3" t="str">
        <f>"TFC000001829"</f>
        <v>TFC000001829</v>
      </c>
      <c r="D2743" s="3" t="str">
        <f>"F800-20-2022-(AR 3.7)"</f>
        <v>F800-20-2022-(AR 3.7)</v>
      </c>
      <c r="E2743" s="3" t="str">
        <f>"(The)sweetest fig"</f>
        <v>(The)sweetest fig</v>
      </c>
      <c r="F2743" s="3" t="str">
        <f>"Chris Van Allsburg"</f>
        <v>Chris Van Allsburg</v>
      </c>
      <c r="G2743" s="3" t="str">
        <f>"Houghton Mifflin Company"</f>
        <v>Houghton Mifflin Company</v>
      </c>
      <c r="H2743" s="2" t="str">
        <f>"1993"</f>
        <v>1993</v>
      </c>
      <c r="I2743" s="3" t="str">
        <f>""</f>
        <v/>
      </c>
    </row>
    <row r="2744" spans="1:9" x14ac:dyDescent="0.3">
      <c r="A2744" s="2">
        <v>2743</v>
      </c>
      <c r="B2744" s="4" t="s">
        <v>38</v>
      </c>
      <c r="C2744" s="3" t="str">
        <f>"TFC000001830"</f>
        <v>TFC000001830</v>
      </c>
      <c r="D2744" s="3" t="str">
        <f>"F800-20-2023-(AR 3.7)"</f>
        <v>F800-20-2023-(AR 3.7)</v>
      </c>
      <c r="E2744" s="3" t="str">
        <f>"Alexander and the terrible, horrible, no good, very bad day"</f>
        <v>Alexander and the terrible, horrible, no good, very bad day</v>
      </c>
      <c r="F2744" s="3" t="str">
        <f>"Judith Viorst ; illustrated by Ray Cruz"</f>
        <v>Judith Viorst ; illustrated by Ray Cruz</v>
      </c>
      <c r="G2744" s="3" t="str">
        <f>"Atheneum Books for Young Readers"</f>
        <v>Atheneum Books for Young Readers</v>
      </c>
      <c r="H2744" s="2" t="str">
        <f>"2009"</f>
        <v>2009</v>
      </c>
      <c r="I2744" s="3" t="str">
        <f>""</f>
        <v/>
      </c>
    </row>
    <row r="2745" spans="1:9" x14ac:dyDescent="0.3">
      <c r="A2745" s="2">
        <v>2744</v>
      </c>
      <c r="B2745" s="4" t="s">
        <v>38</v>
      </c>
      <c r="C2745" s="3" t="str">
        <f>"TFC000001831"</f>
        <v>TFC000001831</v>
      </c>
      <c r="D2745" s="3" t="str">
        <f>"F800-20-2024-(AR 3.7)"</f>
        <v>F800-20-2024-(AR 3.7)</v>
      </c>
      <c r="E2745" s="3" t="str">
        <f>"Magical animals"</f>
        <v>Magical animals</v>
      </c>
      <c r="F2745" s="3" t="str">
        <f>"retold by Carol Watson ; adapted by Gill Harvey ; illustrated by Nick Price"</f>
        <v>retold by Carol Watson ; adapted by Gill Harvey ; illustrated by Nick Price</v>
      </c>
      <c r="G2745" s="3" t="str">
        <f>"Usborne"</f>
        <v>Usborne</v>
      </c>
      <c r="H2745" s="2" t="str">
        <f>"2007"</f>
        <v>2007</v>
      </c>
      <c r="I2745" s="3" t="str">
        <f>""</f>
        <v/>
      </c>
    </row>
    <row r="2746" spans="1:9" x14ac:dyDescent="0.3">
      <c r="A2746" s="2">
        <v>2745</v>
      </c>
      <c r="B2746" s="4" t="s">
        <v>38</v>
      </c>
      <c r="C2746" s="3" t="str">
        <f>"TFC000001834"</f>
        <v>TFC000001834</v>
      </c>
      <c r="D2746" s="3" t="str">
        <f>"F800-20-2026-(AR 3.7)"</f>
        <v>F800-20-2026-(AR 3.7)</v>
      </c>
      <c r="E2746" s="3" t="str">
        <f>"Rainbow fish to the rescue!"</f>
        <v>Rainbow fish to the rescue!</v>
      </c>
      <c r="F2746" s="3" t="str">
        <f>"Marcus Pfister ; translated by J. Alison James"</f>
        <v>Marcus Pfister ; translated by J. Alison James</v>
      </c>
      <c r="G2746" s="3" t="str">
        <f>"North-South Books"</f>
        <v>North-South Books</v>
      </c>
      <c r="H2746" s="2" t="str">
        <f>"1995"</f>
        <v>1995</v>
      </c>
      <c r="I2746" s="3" t="str">
        <f>""</f>
        <v/>
      </c>
    </row>
    <row r="2747" spans="1:9" x14ac:dyDescent="0.3">
      <c r="A2747" s="2">
        <v>2746</v>
      </c>
      <c r="B2747" s="4" t="s">
        <v>38</v>
      </c>
      <c r="C2747" s="3" t="str">
        <f>"TFC000001835"</f>
        <v>TFC000001835</v>
      </c>
      <c r="D2747" s="3" t="str">
        <f>"F800-20-2027-(AR 3.7)"</f>
        <v>F800-20-2027-(AR 3.7)</v>
      </c>
      <c r="E2747" s="3" t="str">
        <f>"(The)curse of the cheese pyramid"</f>
        <v>(The)curse of the cheese pyramid</v>
      </c>
      <c r="F2747" s="3" t="str">
        <f>"by Geronimo Stilton ; illustrated by Matt Wolf"</f>
        <v>by Geronimo Stilton ; illustrated by Matt Wolf</v>
      </c>
      <c r="G2747" s="3" t="str">
        <f>"Scholastic"</f>
        <v>Scholastic</v>
      </c>
      <c r="H2747" s="2" t="str">
        <f>"2004"</f>
        <v>2004</v>
      </c>
      <c r="I2747" s="3" t="str">
        <f>""</f>
        <v/>
      </c>
    </row>
    <row r="2748" spans="1:9" x14ac:dyDescent="0.3">
      <c r="A2748" s="2">
        <v>2747</v>
      </c>
      <c r="B2748" s="4" t="s">
        <v>38</v>
      </c>
      <c r="C2748" s="3" t="str">
        <f>"TFC000001836"</f>
        <v>TFC000001836</v>
      </c>
      <c r="D2748" s="3" t="str">
        <f>"F800-20-2028-(AR 3.7)"</f>
        <v>F800-20-2028-(AR 3.7)</v>
      </c>
      <c r="E2748" s="3" t="str">
        <f>"Lost treasure of the emerald eye"</f>
        <v>Lost treasure of the emerald eye</v>
      </c>
      <c r="F2748" s="3" t="str">
        <f>"by Geronimo Stilton ; illusttated by Matt Wolf, Larry Keys"</f>
        <v>by Geronimo Stilton ; illusttated by Matt Wolf, Larry Keys</v>
      </c>
      <c r="G2748" s="3" t="str">
        <f>"Scholastic"</f>
        <v>Scholastic</v>
      </c>
      <c r="H2748" s="2" t="str">
        <f>"2004"</f>
        <v>2004</v>
      </c>
      <c r="I2748" s="3" t="str">
        <f>""</f>
        <v/>
      </c>
    </row>
    <row r="2749" spans="1:9" x14ac:dyDescent="0.3">
      <c r="A2749" s="2">
        <v>2748</v>
      </c>
      <c r="B2749" s="4" t="s">
        <v>38</v>
      </c>
      <c r="C2749" s="3" t="str">
        <f>"TFC000001837"</f>
        <v>TFC000001837</v>
      </c>
      <c r="D2749" s="3" t="str">
        <f>"F800-20-2029-(AR 3.7)"</f>
        <v>F800-20-2029-(AR 3.7)</v>
      </c>
      <c r="E2749" s="3" t="str">
        <f>"(The)mummy with no name"</f>
        <v>(The)mummy with no name</v>
      </c>
      <c r="F2749" s="3" t="str">
        <f>"by Geronimo Stilton ; illustrations by Roberto Ronchi, Christian Aliprandi, David Turotti"</f>
        <v>by Geronimo Stilton ; illustrations by Roberto Ronchi, Christian Aliprandi, David Turotti</v>
      </c>
      <c r="G2749" s="3" t="str">
        <f>"Scholastic"</f>
        <v>Scholastic</v>
      </c>
      <c r="H2749" s="2" t="str">
        <f>"2006"</f>
        <v>2006</v>
      </c>
      <c r="I2749" s="3" t="str">
        <f>""</f>
        <v/>
      </c>
    </row>
    <row r="2750" spans="1:9" x14ac:dyDescent="0.3">
      <c r="A2750" s="2">
        <v>2749</v>
      </c>
      <c r="B2750" s="4" t="s">
        <v>38</v>
      </c>
      <c r="C2750" s="3" t="str">
        <f>"TFC000001838"</f>
        <v>TFC000001838</v>
      </c>
      <c r="D2750" s="3" t="str">
        <f>"F900-20-2037-(AR 3.7)"</f>
        <v>F900-20-2037-(AR 3.7)</v>
      </c>
      <c r="E2750" s="3" t="str">
        <f>"I am Marie Curie"</f>
        <v>I am Marie Curie</v>
      </c>
      <c r="F2750" s="3" t="str">
        <f>"Brad Meltzer ; illustrated by Chris Eliopoulos"</f>
        <v>Brad Meltzer ; illustrated by Chris Eliopoulos</v>
      </c>
      <c r="G2750" s="3" t="str">
        <f>"Dial Books for Young Readers"</f>
        <v>Dial Books for Young Readers</v>
      </c>
      <c r="H2750" s="2" t="str">
        <f>"2019"</f>
        <v>2019</v>
      </c>
      <c r="I2750" s="3" t="str">
        <f>""</f>
        <v/>
      </c>
    </row>
    <row r="2751" spans="1:9" x14ac:dyDescent="0.3">
      <c r="A2751" s="2">
        <v>2750</v>
      </c>
      <c r="B2751" s="4" t="s">
        <v>38</v>
      </c>
      <c r="C2751" s="3" t="str">
        <f>"TFC000001839"</f>
        <v>TFC000001839</v>
      </c>
      <c r="D2751" s="3" t="str">
        <f>"F900-20-2038-(AR 3.7)"</f>
        <v>F900-20-2038-(AR 3.7)</v>
      </c>
      <c r="E2751" s="3" t="str">
        <f>"Margaret and the moon : how Margaret Hamilton saved the first lunar landing"</f>
        <v>Margaret and the moon : how Margaret Hamilton saved the first lunar landing</v>
      </c>
      <c r="F2751" s="3" t="str">
        <f>"by Dean Robbins ; illustrated by Lucy Knisley"</f>
        <v>by Dean Robbins ; illustrated by Lucy Knisley</v>
      </c>
      <c r="G2751" s="3" t="str">
        <f>"Alfred A. Knopf"</f>
        <v>Alfred A. Knopf</v>
      </c>
      <c r="H2751" s="2" t="str">
        <f>"2017"</f>
        <v>2017</v>
      </c>
      <c r="I2751" s="3" t="str">
        <f>""</f>
        <v/>
      </c>
    </row>
    <row r="2752" spans="1:9" x14ac:dyDescent="0.3">
      <c r="A2752" s="2">
        <v>2751</v>
      </c>
      <c r="B2752" s="4" t="s">
        <v>38</v>
      </c>
      <c r="C2752" s="3" t="str">
        <f>"TFC000002888"</f>
        <v>TFC000002888</v>
      </c>
      <c r="D2752" s="3" t="str">
        <f>"F800-20-2030-(AR 3.7)"</f>
        <v>F800-20-2030-(AR 3.7)</v>
      </c>
      <c r="E2752" s="3" t="str">
        <f>"(A)pocket full of kisses"</f>
        <v>(A)pocket full of kisses</v>
      </c>
      <c r="F2752" s="3" t="str">
        <f>"Audrey Penn ; illustrated by Barbara Leonard Gibson"</f>
        <v>Audrey Penn ; illustrated by Barbara Leonard Gibson</v>
      </c>
      <c r="G2752" s="3" t="str">
        <f>"Scholastic"</f>
        <v>Scholastic</v>
      </c>
      <c r="H2752" s="2" t="str">
        <f>"2004"</f>
        <v>2004</v>
      </c>
      <c r="I2752" s="3" t="str">
        <f>""</f>
        <v/>
      </c>
    </row>
    <row r="2753" spans="1:9" x14ac:dyDescent="0.3">
      <c r="A2753" s="2">
        <v>2752</v>
      </c>
      <c r="B2753" s="4" t="s">
        <v>38</v>
      </c>
      <c r="C2753" s="3" t="str">
        <f>"TFC000002889"</f>
        <v>TFC000002889</v>
      </c>
      <c r="D2753" s="3" t="str">
        <f>"F800-20-2031-(AR 3.7)"</f>
        <v>F800-20-2031-(AR 3.7)</v>
      </c>
      <c r="E2753" s="3" t="str">
        <f>"Help! I'm trapped in the first day of summer camp"</f>
        <v>Help! I'm trapped in the first day of summer camp</v>
      </c>
      <c r="F2753" s="3" t="str">
        <f>"Todd Strasser"</f>
        <v>Todd Strasser</v>
      </c>
      <c r="G2753" s="3" t="str">
        <f>"Scholastic"</f>
        <v>Scholastic</v>
      </c>
      <c r="H2753" s="2" t="str">
        <f>"1997"</f>
        <v>1997</v>
      </c>
      <c r="I2753" s="3" t="str">
        <f>""</f>
        <v/>
      </c>
    </row>
    <row r="2754" spans="1:9" x14ac:dyDescent="0.3">
      <c r="A2754" s="2">
        <v>2753</v>
      </c>
      <c r="B2754" s="4" t="s">
        <v>38</v>
      </c>
      <c r="C2754" s="3" t="str">
        <f>"TFC000002890"</f>
        <v>TFC000002890</v>
      </c>
      <c r="D2754" s="3" t="str">
        <f>"F800-20-2032-(AR 3.7)"</f>
        <v>F800-20-2032-(AR 3.7)</v>
      </c>
      <c r="E2754" s="3" t="str">
        <f>"Scorpions : the heat is on"</f>
        <v>Scorpions : the heat is on</v>
      </c>
      <c r="F2754" s="3" t="str">
        <f>"by Walter Dean Myers"</f>
        <v>by Walter Dean Myers</v>
      </c>
      <c r="G2754" s="3" t="str">
        <f>"HarperTrophy"</f>
        <v>HarperTrophy</v>
      </c>
      <c r="H2754" s="2" t="str">
        <f>"2001"</f>
        <v>2001</v>
      </c>
      <c r="I2754" s="3" t="str">
        <f>""</f>
        <v/>
      </c>
    </row>
    <row r="2755" spans="1:9" x14ac:dyDescent="0.3">
      <c r="A2755" s="2">
        <v>2754</v>
      </c>
      <c r="B2755" s="4" t="s">
        <v>38</v>
      </c>
      <c r="C2755" s="3" t="str">
        <f>"TFC000002968"</f>
        <v>TFC000002968</v>
      </c>
      <c r="D2755" s="3" t="str">
        <f>"F800-20-2033-(AR 3.7)"</f>
        <v>F800-20-2033-(AR 3.7)</v>
      </c>
      <c r="E2755" s="3" t="str">
        <f>"Bicycle book"</f>
        <v>Bicycle book</v>
      </c>
      <c r="F2755" s="3" t="str">
        <f>"by Gail Gibbons"</f>
        <v>by Gail Gibbons</v>
      </c>
      <c r="G2755" s="3" t="str">
        <f>"Scholastic"</f>
        <v>Scholastic</v>
      </c>
      <c r="H2755" s="2" t="str">
        <f>"2001"</f>
        <v>2001</v>
      </c>
      <c r="I2755" s="3" t="str">
        <f>""</f>
        <v/>
      </c>
    </row>
    <row r="2756" spans="1:9" x14ac:dyDescent="0.3">
      <c r="A2756" s="2">
        <v>2755</v>
      </c>
      <c r="B2756" s="4" t="s">
        <v>38</v>
      </c>
      <c r="C2756" s="3" t="str">
        <f>"TFC000002969"</f>
        <v>TFC000002969</v>
      </c>
      <c r="D2756" s="3" t="str">
        <f>"F800-20-2034-(AR 3.7)"</f>
        <v>F800-20-2034-(AR 3.7)</v>
      </c>
      <c r="E2756" s="3" t="str">
        <f>"Dinosaurs"</f>
        <v>Dinosaurs</v>
      </c>
      <c r="F2756" s="3" t="str">
        <f>"by Gail Gibbons"</f>
        <v>by Gail Gibbons</v>
      </c>
      <c r="G2756" s="3" t="str">
        <f>"Scholastic"</f>
        <v>Scholastic</v>
      </c>
      <c r="H2756" s="2" t="str">
        <f>"1993"</f>
        <v>1993</v>
      </c>
      <c r="I2756" s="3" t="str">
        <f>""</f>
        <v/>
      </c>
    </row>
    <row r="2757" spans="1:9" x14ac:dyDescent="0.3">
      <c r="A2757" s="2">
        <v>2756</v>
      </c>
      <c r="B2757" s="4" t="s">
        <v>38</v>
      </c>
      <c r="C2757" s="3" t="str">
        <f>"TFC000003047"</f>
        <v>TFC000003047</v>
      </c>
      <c r="D2757" s="3" t="str">
        <f>"F800-20-2035-(AR 3.7)"</f>
        <v>F800-20-2035-(AR 3.7)</v>
      </c>
      <c r="E2757" s="3" t="str">
        <f>"Big fat liar"</f>
        <v>Big fat liar</v>
      </c>
      <c r="F2757" s="3" t="str">
        <f>"James Patterson, Lisa Papademetriou ; illustrated by Neil Swaab"</f>
        <v>James Patterson, Lisa Papademetriou ; illustrated by Neil Swaab</v>
      </c>
      <c r="G2757" s="3" t="str">
        <f>"Little, Brown and Company"</f>
        <v>Little, Brown and Company</v>
      </c>
      <c r="H2757" s="2" t="str">
        <f>"2014"</f>
        <v>2014</v>
      </c>
      <c r="I2757" s="3" t="str">
        <f>""</f>
        <v/>
      </c>
    </row>
    <row r="2758" spans="1:9" x14ac:dyDescent="0.3">
      <c r="A2758" s="2">
        <v>2757</v>
      </c>
      <c r="B2758" s="4" t="s">
        <v>38</v>
      </c>
      <c r="C2758" s="3" t="str">
        <f>"TFC000003081"</f>
        <v>TFC000003081</v>
      </c>
      <c r="D2758" s="3" t="str">
        <f>"F800-20-2036-(AR 3.7)"</f>
        <v>F800-20-2036-(AR 3.7)</v>
      </c>
      <c r="E2758" s="3" t="str">
        <f>"Mary Poppins"</f>
        <v>Mary Poppins</v>
      </c>
      <c r="F2758" s="3" t="str">
        <f>"based on the novel by P.L. Travers ; adapted by Amy Novesky ; illustrated by Genevieve Godbout"</f>
        <v>based on the novel by P.L. Travers ; adapted by Amy Novesky ; illustrated by Genevieve Godbout</v>
      </c>
      <c r="G2758" s="3" t="str">
        <f>"Houghton Mifflin Harcourt"</f>
        <v>Houghton Mifflin Harcourt</v>
      </c>
      <c r="H2758" s="2" t="str">
        <f>"2018"</f>
        <v>2018</v>
      </c>
      <c r="I2758" s="3" t="str">
        <f>""</f>
        <v/>
      </c>
    </row>
    <row r="2759" spans="1:9" x14ac:dyDescent="0.3">
      <c r="A2759" s="2">
        <v>2758</v>
      </c>
      <c r="B2759" s="4" t="s">
        <v>38</v>
      </c>
      <c r="C2759" s="3" t="str">
        <f>"TFC000003260"</f>
        <v>TFC000003260</v>
      </c>
      <c r="D2759" s="3" t="str">
        <f>"F400-21-0684-(AR 3.7)"</f>
        <v>F400-21-0684-(AR 3.7)</v>
      </c>
      <c r="E2759" s="3" t="str">
        <f>"Satellite space mission"</f>
        <v>Satellite space mission</v>
      </c>
      <c r="F2759" s="3" t="str">
        <f>"by AnnMarie Anderson"</f>
        <v>by AnnMarie Anderson</v>
      </c>
      <c r="G2759" s="3" t="str">
        <f>"Scholastic"</f>
        <v>Scholastic</v>
      </c>
      <c r="H2759" s="2" t="str">
        <f>"2018"</f>
        <v>2018</v>
      </c>
      <c r="I2759" s="3" t="str">
        <f>""</f>
        <v/>
      </c>
    </row>
    <row r="2760" spans="1:9" x14ac:dyDescent="0.3">
      <c r="A2760" s="2">
        <v>2759</v>
      </c>
      <c r="B2760" s="4" t="s">
        <v>38</v>
      </c>
      <c r="C2760" s="3" t="str">
        <f>"TFC000003261"</f>
        <v>TFC000003261</v>
      </c>
      <c r="D2760" s="3" t="str">
        <f>"F500-21-0686-(AR 3.7)"</f>
        <v>F500-21-0686-(AR 3.7)</v>
      </c>
      <c r="E2760" s="3" t="str">
        <f>"Carlos gets the sneezes"</f>
        <v>Carlos gets the sneezes</v>
      </c>
      <c r="F2760" s="3" t="str">
        <f>"by Judy Katschke"</f>
        <v>by Judy Katschke</v>
      </c>
      <c r="G2760" s="3" t="str">
        <f>"Scholastic Paperbacks"</f>
        <v>Scholastic Paperbacks</v>
      </c>
      <c r="H2760" s="2" t="str">
        <f>"2018"</f>
        <v>2018</v>
      </c>
      <c r="I2760" s="3" t="str">
        <f>""</f>
        <v/>
      </c>
    </row>
    <row r="2761" spans="1:9" x14ac:dyDescent="0.3">
      <c r="A2761" s="2">
        <v>2760</v>
      </c>
      <c r="B2761" s="4" t="s">
        <v>38</v>
      </c>
      <c r="C2761" s="3" t="str">
        <f>"TFC000003381"</f>
        <v>TFC000003381</v>
      </c>
      <c r="D2761" s="3" t="str">
        <f>"F300-21-0683-(AR 3.7)"</f>
        <v>F300-21-0683-(AR 3.7)</v>
      </c>
      <c r="E2761" s="3" t="str">
        <f>"Equality's call : the story of voting rights in America"</f>
        <v>Equality's call : the story of voting rights in America</v>
      </c>
      <c r="F2761" s="3" t="str">
        <f>"written by Debbie Diesen ; illustrated by Magdalena Mora"</f>
        <v>written by Debbie Diesen ; illustrated by Magdalena Mora</v>
      </c>
      <c r="G2761" s="3" t="str">
        <f>"Beach Lane Books"</f>
        <v>Beach Lane Books</v>
      </c>
      <c r="H2761" s="2" t="str">
        <f>"2020"</f>
        <v>2020</v>
      </c>
      <c r="I2761" s="3" t="str">
        <f>""</f>
        <v/>
      </c>
    </row>
    <row r="2762" spans="1:9" x14ac:dyDescent="0.3">
      <c r="A2762" s="2">
        <v>2761</v>
      </c>
      <c r="B2762" s="4" t="s">
        <v>38</v>
      </c>
      <c r="C2762" s="3" t="str">
        <f>"TFC000003382"</f>
        <v>TFC000003382</v>
      </c>
      <c r="D2762" s="3" t="str">
        <f>"F600-21-0687-(AR 3.7)"</f>
        <v>F600-21-0687-(AR 3.7)</v>
      </c>
      <c r="E2762" s="3" t="str">
        <f>"Skydiving"</f>
        <v>Skydiving</v>
      </c>
      <c r="F2762" s="3" t="str">
        <f>"by Matt Scheff"</f>
        <v>by Matt Scheff</v>
      </c>
      <c r="G2762" s="3" t="str">
        <f>"DiscoverRoo"</f>
        <v>DiscoverRoo</v>
      </c>
      <c r="H2762" s="2" t="str">
        <f>"2020"</f>
        <v>2020</v>
      </c>
      <c r="I2762" s="3" t="str">
        <f>""</f>
        <v/>
      </c>
    </row>
    <row r="2763" spans="1:9" x14ac:dyDescent="0.3">
      <c r="A2763" s="2">
        <v>2762</v>
      </c>
      <c r="B2763" s="4" t="s">
        <v>38</v>
      </c>
      <c r="C2763" s="3" t="str">
        <f>"TFC000003383"</f>
        <v>TFC000003383</v>
      </c>
      <c r="D2763" s="3" t="str">
        <f>"F800-21-0689-(AR 3.7)"</f>
        <v>F800-21-0689-(AR 3.7)</v>
      </c>
      <c r="E2763" s="3" t="str">
        <f>"Turtle in Paradise"</f>
        <v>Turtle in Paradise</v>
      </c>
      <c r="F2763" s="3" t="str">
        <f>"by Jennifer L. Holm"</f>
        <v>by Jennifer L. Holm</v>
      </c>
      <c r="G2763" s="3" t="str">
        <f>"Yearling Books"</f>
        <v>Yearling Books</v>
      </c>
      <c r="H2763" s="2" t="str">
        <f>"2016"</f>
        <v>2016</v>
      </c>
      <c r="I2763" s="3" t="str">
        <f>""</f>
        <v/>
      </c>
    </row>
    <row r="2764" spans="1:9" x14ac:dyDescent="0.3">
      <c r="A2764" s="2">
        <v>2763</v>
      </c>
      <c r="B2764" s="4" t="s">
        <v>38</v>
      </c>
      <c r="C2764" s="3" t="str">
        <f>"TFC000003519"</f>
        <v>TFC000003519</v>
      </c>
      <c r="D2764" s="3" t="str">
        <f>"F800-21-0690-(AR 3.7)"</f>
        <v>F800-21-0690-(AR 3.7)</v>
      </c>
      <c r="E2764" s="3" t="str">
        <f>"Isadora Moon goes on a field trip"</f>
        <v>Isadora Moon goes on a field trip</v>
      </c>
      <c r="F2764" s="3" t="str">
        <f>"by Harriet Muncaster"</f>
        <v>by Harriet Muncaster</v>
      </c>
      <c r="G2764" s="3" t="str">
        <f>"Random House"</f>
        <v>Random House</v>
      </c>
      <c r="H2764" s="2" t="str">
        <f>"2017"</f>
        <v>2017</v>
      </c>
      <c r="I2764" s="3" t="str">
        <f>""</f>
        <v/>
      </c>
    </row>
    <row r="2765" spans="1:9" x14ac:dyDescent="0.3">
      <c r="A2765" s="2">
        <v>2764</v>
      </c>
      <c r="B2765" s="4" t="s">
        <v>38</v>
      </c>
      <c r="C2765" s="3" t="str">
        <f>"TFC000003529"</f>
        <v>TFC000003529</v>
      </c>
      <c r="D2765" s="3" t="str">
        <f>"F800-21-0691-(AR 3.7)"</f>
        <v>F800-21-0691-(AR 3.7)</v>
      </c>
      <c r="E2765" s="3" t="str">
        <f>"Hurricane heroes in Texas"</f>
        <v>Hurricane heroes in Texas</v>
      </c>
      <c r="F2765" s="3" t="str">
        <f>"by Mary Pope Osborne"</f>
        <v>by Mary Pope Osborne</v>
      </c>
      <c r="G2765" s="3" t="str">
        <f>"Random House"</f>
        <v>Random House</v>
      </c>
      <c r="H2765" s="2" t="str">
        <f>"2018"</f>
        <v>2018</v>
      </c>
      <c r="I2765" s="3" t="str">
        <f>""</f>
        <v/>
      </c>
    </row>
    <row r="2766" spans="1:9" x14ac:dyDescent="0.3">
      <c r="A2766" s="2">
        <v>2765</v>
      </c>
      <c r="B2766" s="4" t="s">
        <v>38</v>
      </c>
      <c r="C2766" s="3" t="str">
        <f>"TFC000003624"</f>
        <v>TFC000003624</v>
      </c>
      <c r="D2766" s="3" t="str">
        <f>"F800-21-0692-(AR 3.7)"</f>
        <v>F800-21-0692-(AR 3.7)</v>
      </c>
      <c r="E2766" s="3" t="str">
        <f>"(The)secret at Jefferson's mansion"</f>
        <v>(The)secret at Jefferson's mansion</v>
      </c>
      <c r="F2766" s="3" t="str">
        <f>"by Ron Roy ; illustrated by Timothy Bush"</f>
        <v>by Ron Roy ; illustrated by Timothy Bush</v>
      </c>
      <c r="G2766" s="3" t="str">
        <f>"Random House"</f>
        <v>Random House</v>
      </c>
      <c r="H2766" s="2" t="str">
        <f>"2009"</f>
        <v>2009</v>
      </c>
      <c r="I2766" s="3" t="str">
        <f>""</f>
        <v/>
      </c>
    </row>
    <row r="2767" spans="1:9" x14ac:dyDescent="0.3">
      <c r="A2767" s="2">
        <v>2766</v>
      </c>
      <c r="B2767" s="4" t="s">
        <v>38</v>
      </c>
      <c r="C2767" s="3" t="str">
        <f>"TFC000003625"</f>
        <v>TFC000003625</v>
      </c>
      <c r="D2767" s="3" t="str">
        <f>"F800-21-0693-(AR 3.7)"</f>
        <v>F800-21-0693-(AR 3.7)</v>
      </c>
      <c r="E2767" s="3" t="str">
        <f>"Kidnapped at the Capital"</f>
        <v>Kidnapped at the Capital</v>
      </c>
      <c r="F2767" s="3" t="str">
        <f>"by Ron Roy ; illustrated by Liza Woodruff"</f>
        <v>by Ron Roy ; illustrated by Liza Woodruff</v>
      </c>
      <c r="G2767" s="3" t="str">
        <f>"Random House"</f>
        <v>Random House</v>
      </c>
      <c r="H2767" s="2" t="str">
        <f>"2009"</f>
        <v>2009</v>
      </c>
      <c r="I2767" s="3" t="str">
        <f>""</f>
        <v/>
      </c>
    </row>
    <row r="2768" spans="1:9" x14ac:dyDescent="0.3">
      <c r="A2768" s="2">
        <v>2767</v>
      </c>
      <c r="B2768" s="4" t="s">
        <v>38</v>
      </c>
      <c r="C2768" s="3" t="str">
        <f>"TFC000003626"</f>
        <v>TFC000003626</v>
      </c>
      <c r="D2768" s="3" t="str">
        <f>"F800-21-0694-(AR 3.7)"</f>
        <v>F800-21-0694-(AR 3.7)</v>
      </c>
      <c r="E2768" s="3" t="str">
        <f>"Trouble at the Treasury"</f>
        <v>Trouble at the Treasury</v>
      </c>
      <c r="F2768" s="3" t="str">
        <f>"by Ron Roy ; illustrated by Timothy Bush"</f>
        <v>by Ron Roy ; illustrated by Timothy Bush</v>
      </c>
      <c r="G2768" s="3" t="str">
        <f>"Random House"</f>
        <v>Random House</v>
      </c>
      <c r="H2768" s="2" t="str">
        <f>"2009"</f>
        <v>2009</v>
      </c>
      <c r="I2768" s="3" t="str">
        <f>""</f>
        <v/>
      </c>
    </row>
    <row r="2769" spans="1:9" x14ac:dyDescent="0.3">
      <c r="A2769" s="2">
        <v>2768</v>
      </c>
      <c r="B2769" s="4" t="s">
        <v>38</v>
      </c>
      <c r="C2769" s="3" t="str">
        <f>"TFC000003682"</f>
        <v>TFC000003682</v>
      </c>
      <c r="D2769" s="3" t="str">
        <f>"F800-21-0695-(AR 3.7)"</f>
        <v>F800-21-0695-(AR 3.7)</v>
      </c>
      <c r="E2769" s="3" t="str">
        <f>"Al Capone does my homework"</f>
        <v>Al Capone does my homework</v>
      </c>
      <c r="F2769" s="3" t="str">
        <f>"by Gennifer Choldenko"</f>
        <v>by Gennifer Choldenko</v>
      </c>
      <c r="G2769" s="3" t="str">
        <f>"Puffin books"</f>
        <v>Puffin books</v>
      </c>
      <c r="H2769" s="2" t="str">
        <f>"2013"</f>
        <v>2013</v>
      </c>
      <c r="I2769" s="3" t="str">
        <f>""</f>
        <v/>
      </c>
    </row>
    <row r="2770" spans="1:9" x14ac:dyDescent="0.3">
      <c r="A2770" s="2">
        <v>2769</v>
      </c>
      <c r="B2770" s="4" t="s">
        <v>38</v>
      </c>
      <c r="C2770" s="3" t="str">
        <f>"TFC000003716"</f>
        <v>TFC000003716</v>
      </c>
      <c r="D2770" s="3" t="str">
        <f>"F800-21-0696-(AR 3.7)"</f>
        <v>F800-21-0696-(AR 3.7)</v>
      </c>
      <c r="E2770" s="3" t="str">
        <f>"Wangari's trees of peace : a true story from Africa"</f>
        <v>Wangari's trees of peace : a true story from Africa</v>
      </c>
      <c r="F2770" s="3" t="str">
        <f>"by Jeanette Winter"</f>
        <v>by Jeanette Winter</v>
      </c>
      <c r="G2770" s="3" t="str">
        <f>"Houghton Mifflin Harcourt"</f>
        <v>Houghton Mifflin Harcourt</v>
      </c>
      <c r="H2770" s="2" t="str">
        <f>"2018"</f>
        <v>2018</v>
      </c>
      <c r="I2770" s="3" t="str">
        <f>""</f>
        <v/>
      </c>
    </row>
    <row r="2771" spans="1:9" x14ac:dyDescent="0.3">
      <c r="A2771" s="2">
        <v>2770</v>
      </c>
      <c r="B2771" s="4" t="s">
        <v>38</v>
      </c>
      <c r="C2771" s="3" t="str">
        <f>"TFC000003731"</f>
        <v>TFC000003731</v>
      </c>
      <c r="D2771" s="3" t="str">
        <f>"F400-21-0940-(AR 3.7)"</f>
        <v>F400-21-0940-(AR 3.7)</v>
      </c>
      <c r="E2771" s="3" t="str">
        <f>"Over and under the rainforest"</f>
        <v>Over and under the rainforest</v>
      </c>
      <c r="F2771" s="3" t="str">
        <f>"by Kate Messner ; with art by Christopher Silas Neal"</f>
        <v>by Kate Messner ; with art by Christopher Silas Neal</v>
      </c>
      <c r="G2771" s="3" t="str">
        <f>"Chronicle Books"</f>
        <v>Chronicle Books</v>
      </c>
      <c r="H2771" s="2" t="str">
        <f>"2020"</f>
        <v>2020</v>
      </c>
      <c r="I2771" s="3" t="str">
        <f>""</f>
        <v/>
      </c>
    </row>
    <row r="2772" spans="1:9" x14ac:dyDescent="0.3">
      <c r="A2772" s="2">
        <v>2771</v>
      </c>
      <c r="B2772" s="4" t="s">
        <v>38</v>
      </c>
      <c r="C2772" s="3" t="str">
        <f>"TFC000003794"</f>
        <v>TFC000003794</v>
      </c>
      <c r="D2772" s="3" t="str">
        <f>"F600-21-0688-(AR 3.7)"</f>
        <v>F600-21-0688-(AR 3.7)</v>
      </c>
      <c r="E2772" s="3" t="str">
        <f>"Mario and Luigi : super Mario bros heroes"</f>
        <v>Mario and Luigi : super Mario bros heroes</v>
      </c>
      <c r="F2772" s="3" t="str">
        <f>"by Kenny Abdo"</f>
        <v>by Kenny Abdo</v>
      </c>
      <c r="G2772" s="3" t="str">
        <f>"Fly!, an imprint of Abdo Zoom"</f>
        <v>Fly!, an imprint of Abdo Zoom</v>
      </c>
      <c r="H2772" s="2" t="str">
        <f>"2021"</f>
        <v>2021</v>
      </c>
      <c r="I2772" s="3" t="str">
        <f>""</f>
        <v/>
      </c>
    </row>
    <row r="2773" spans="1:9" x14ac:dyDescent="0.3">
      <c r="A2773" s="2">
        <v>2772</v>
      </c>
      <c r="B2773" s="4" t="s">
        <v>38</v>
      </c>
      <c r="C2773" s="3" t="str">
        <f>"TFC000003843"</f>
        <v>TFC000003843</v>
      </c>
      <c r="D2773" s="3" t="str">
        <f>"F800-21-0697-(AR 3.7)"</f>
        <v>F800-21-0697-(AR 3.7)</v>
      </c>
      <c r="E2773" s="3" t="str">
        <f>"Eugenia lincoln and the unexpected package"</f>
        <v>Eugenia lincoln and the unexpected package</v>
      </c>
      <c r="F2773" s="3" t="str">
        <f>"by Kate Dicamillo, illustrated by Chris Van Dusen"</f>
        <v>by Kate Dicamillo, illustrated by Chris Van Dusen</v>
      </c>
      <c r="G2773" s="3" t="str">
        <f>"Candlewick Press"</f>
        <v>Candlewick Press</v>
      </c>
      <c r="H2773" s="2" t="str">
        <f>"2018"</f>
        <v>2018</v>
      </c>
      <c r="I2773" s="3" t="str">
        <f>""</f>
        <v/>
      </c>
    </row>
    <row r="2774" spans="1:9" x14ac:dyDescent="0.3">
      <c r="A2774" s="2">
        <v>2773</v>
      </c>
      <c r="B2774" s="4" t="s">
        <v>38</v>
      </c>
      <c r="C2774" s="3" t="str">
        <f>"TFC000003905"</f>
        <v>TFC000003905</v>
      </c>
      <c r="D2774" s="3" t="str">
        <f>"F400-21-0685-(AR 3.7)"</f>
        <v>F400-21-0685-(AR 3.7)</v>
      </c>
      <c r="E2774" s="3" t="str">
        <f>"Hornet vs. wasp"</f>
        <v>Hornet vs. wasp</v>
      </c>
      <c r="F2774" s="3" t="str">
        <f>"by Jerry Pallotta, illustrated by Rob Bolster"</f>
        <v>by Jerry Pallotta, illustrated by Rob Bolster</v>
      </c>
      <c r="G2774" s="3" t="str">
        <f>"Scholastic"</f>
        <v>Scholastic</v>
      </c>
      <c r="H2774" s="2" t="str">
        <f>"2013"</f>
        <v>2013</v>
      </c>
      <c r="I2774" s="3" t="str">
        <f>""</f>
        <v/>
      </c>
    </row>
    <row r="2775" spans="1:9" x14ac:dyDescent="0.3">
      <c r="A2775" s="2">
        <v>2774</v>
      </c>
      <c r="B2775" s="4" t="s">
        <v>38</v>
      </c>
      <c r="C2775" s="3" t="str">
        <f>"TFC000004187"</f>
        <v>TFC000004187</v>
      </c>
      <c r="D2775" s="3" t="str">
        <f>"F800-21-0700-(AR 3.7)"</f>
        <v>F800-21-0700-(AR 3.7)</v>
      </c>
      <c r="E2775" s="3" t="str">
        <f>"Fish in a tree"</f>
        <v>Fish in a tree</v>
      </c>
      <c r="F2775" s="3" t="str">
        <f>"by Lynda Mullaly Hunt"</f>
        <v>by Lynda Mullaly Hunt</v>
      </c>
      <c r="G2775" s="3" t="str">
        <f>"Puffin"</f>
        <v>Puffin</v>
      </c>
      <c r="H2775" s="2" t="str">
        <f>"2017"</f>
        <v>2017</v>
      </c>
      <c r="I2775" s="3" t="str">
        <f>""</f>
        <v/>
      </c>
    </row>
    <row r="2776" spans="1:9" x14ac:dyDescent="0.3">
      <c r="A2776" s="2">
        <v>2775</v>
      </c>
      <c r="B2776" s="4" t="s">
        <v>38</v>
      </c>
      <c r="C2776" s="3" t="str">
        <f>"TFC000004188"</f>
        <v>TFC000004188</v>
      </c>
      <c r="D2776" s="3" t="str">
        <f>"F800-21-0701-(AR 3.7)"</f>
        <v>F800-21-0701-(AR 3.7)</v>
      </c>
      <c r="E2776" s="3" t="str">
        <f>"(The)War I finally won"</f>
        <v>(The)War I finally won</v>
      </c>
      <c r="F2776" s="3" t="str">
        <f>"by Kimberly Brubaker Bradley"</f>
        <v>by Kimberly Brubaker Bradley</v>
      </c>
      <c r="G2776" s="3" t="str">
        <f>"Puffin Books"</f>
        <v>Puffin Books</v>
      </c>
      <c r="H2776" s="2" t="str">
        <f>"2018"</f>
        <v>2018</v>
      </c>
      <c r="I2776" s="3" t="str">
        <f>""</f>
        <v/>
      </c>
    </row>
    <row r="2777" spans="1:9" x14ac:dyDescent="0.3">
      <c r="A2777" s="2">
        <v>2776</v>
      </c>
      <c r="B2777" s="4" t="s">
        <v>38</v>
      </c>
      <c r="C2777" s="3" t="str">
        <f>"TFC000004189"</f>
        <v>TFC000004189</v>
      </c>
      <c r="D2777" s="3" t="str">
        <f>"F900-21-0702-(AR 3.7)"</f>
        <v>F900-21-0702-(AR 3.7)</v>
      </c>
      <c r="E2777" s="3" t="str">
        <f>"I Am Jane Goodall"</f>
        <v>I Am Jane Goodall</v>
      </c>
      <c r="F2777" s="3" t="str">
        <f>"by Brad Meltzer, Christopher Eliopoulos"</f>
        <v>by Brad Meltzer, Christopher Eliopoulos</v>
      </c>
      <c r="G2777" s="3" t="str">
        <f>"Dial Books"</f>
        <v>Dial Books</v>
      </c>
      <c r="H2777" s="2" t="str">
        <f>"2016"</f>
        <v>2016</v>
      </c>
      <c r="I2777" s="3" t="str">
        <f>""</f>
        <v/>
      </c>
    </row>
    <row r="2778" spans="1:9" x14ac:dyDescent="0.3">
      <c r="A2778" s="2">
        <v>2777</v>
      </c>
      <c r="B2778" s="4" t="s">
        <v>38</v>
      </c>
      <c r="C2778" s="3" t="str">
        <f>"TFC000004203"</f>
        <v>TFC000004203</v>
      </c>
      <c r="D2778" s="3" t="str">
        <f>"F900-22-0107-(AR 3.7)"</f>
        <v>F900-22-0107-(AR 3.7)</v>
      </c>
      <c r="E2778" s="3" t="str">
        <f>"I am Oprah Winfrey"</f>
        <v>I am Oprah Winfrey</v>
      </c>
      <c r="F2778" s="3" t="str">
        <f>"by Brad Meltzer, illustrated by Christopher Eliopoulos"</f>
        <v>by Brad Meltzer, illustrated by Christopher Eliopoulos</v>
      </c>
      <c r="G2778" s="3" t="str">
        <f>"Dial Books"</f>
        <v>Dial Books</v>
      </c>
      <c r="H2778" s="2" t="str">
        <f>"2014"</f>
        <v>2014</v>
      </c>
      <c r="I2778" s="3" t="str">
        <f>""</f>
        <v/>
      </c>
    </row>
    <row r="2779" spans="1:9" x14ac:dyDescent="0.3">
      <c r="A2779" s="2">
        <v>2778</v>
      </c>
      <c r="B2779" s="4" t="s">
        <v>38</v>
      </c>
      <c r="C2779" s="3" t="str">
        <f>"TFC000004204"</f>
        <v>TFC000004204</v>
      </c>
      <c r="D2779" s="3" t="str">
        <f>"F900-22-0108-(AR 3.7)"</f>
        <v>F900-22-0108-(AR 3.7)</v>
      </c>
      <c r="E2779" s="3" t="str">
        <f>"I am Harriet Tubman"</f>
        <v>I am Harriet Tubman</v>
      </c>
      <c r="F2779" s="3" t="str">
        <f>"by Brad Meltzer, illustrated by Christopher Eliopoulos"</f>
        <v>by Brad Meltzer, illustrated by Christopher Eliopoulos</v>
      </c>
      <c r="G2779" s="3" t="str">
        <f>"Dial Books"</f>
        <v>Dial Books</v>
      </c>
      <c r="H2779" s="2" t="str">
        <f>"2014"</f>
        <v>2014</v>
      </c>
      <c r="I2779" s="3" t="str">
        <f>""</f>
        <v/>
      </c>
    </row>
    <row r="2780" spans="1:9" x14ac:dyDescent="0.3">
      <c r="A2780" s="2">
        <v>2779</v>
      </c>
      <c r="B2780" s="4" t="s">
        <v>38</v>
      </c>
      <c r="C2780" s="3" t="str">
        <f>"TFC000004232"</f>
        <v>TFC000004232</v>
      </c>
      <c r="D2780" s="3" t="str">
        <f>"F800-22-0051-(AR 3.7)=2"</f>
        <v>F800-22-0051-(AR 3.7)=2</v>
      </c>
      <c r="E2780" s="3" t="str">
        <f>"(The)39-Story Treehouse"</f>
        <v>(The)39-Story Treehouse</v>
      </c>
      <c r="F2780" s="3" t="str">
        <f>"by Andy Griffiths, illustrated by Terry Denton"</f>
        <v>by Andy Griffiths, illustrated by Terry Denton</v>
      </c>
      <c r="G2780" s="3" t="str">
        <f>"Feiwel &amp; Friends"</f>
        <v>Feiwel &amp; Friends</v>
      </c>
      <c r="H2780" s="2" t="str">
        <f>"2015"</f>
        <v>2015</v>
      </c>
      <c r="I2780" s="3" t="str">
        <f>""</f>
        <v/>
      </c>
    </row>
    <row r="2781" spans="1:9" x14ac:dyDescent="0.3">
      <c r="A2781" s="2">
        <v>2780</v>
      </c>
      <c r="B2781" s="4" t="s">
        <v>38</v>
      </c>
      <c r="C2781" s="3" t="str">
        <f>"TFC000004292"</f>
        <v>TFC000004292</v>
      </c>
      <c r="D2781" s="3" t="str">
        <f>"F800-22-0049-(AR 3.7)"</f>
        <v>F800-22-0049-(AR 3.7)</v>
      </c>
      <c r="E2781" s="3" t="str">
        <f>"Dream big"</f>
        <v>Dream big</v>
      </c>
      <c r="F2781" s="3" t="str">
        <f>"by Deloris Jordan, illustrated by Barry Root"</f>
        <v>by Deloris Jordan, illustrated by Barry Root</v>
      </c>
      <c r="G2781" s="3" t="str">
        <f>"Simon ＆ Schuster"</f>
        <v>Simon ＆ Schuster</v>
      </c>
      <c r="H2781" s="2" t="str">
        <f>"2012"</f>
        <v>2012</v>
      </c>
      <c r="I2781" s="3" t="str">
        <f>""</f>
        <v/>
      </c>
    </row>
    <row r="2782" spans="1:9" x14ac:dyDescent="0.3">
      <c r="A2782" s="2">
        <v>2781</v>
      </c>
      <c r="B2782" s="4" t="s">
        <v>38</v>
      </c>
      <c r="C2782" s="3" t="str">
        <f>"TFC000004310"</f>
        <v>TFC000004310</v>
      </c>
      <c r="D2782" s="3" t="str">
        <f>"F800-22-0112-(AR 3.7)"</f>
        <v>F800-22-0112-(AR 3.7)</v>
      </c>
      <c r="E2782" s="3" t="str">
        <f>"(A)Whale of a tale! : All about Porpoises, Dolphins and Whale"</f>
        <v>(A)Whale of a tale! : All about Porpoises, Dolphins and Whale</v>
      </c>
      <c r="F2782" s="3" t="str">
        <f>"by Bonnie Worth, illustrated by Aristides Ruiz, Joe Mathieu"</f>
        <v>by Bonnie Worth, illustrated by Aristides Ruiz, Joe Mathieu</v>
      </c>
      <c r="G2782" s="3" t="str">
        <f>"HaperCillins Children's Books"</f>
        <v>HaperCillins Children's Books</v>
      </c>
      <c r="H2782" s="2" t="str">
        <f>"2009"</f>
        <v>2009</v>
      </c>
      <c r="I2782" s="3" t="str">
        <f>""</f>
        <v/>
      </c>
    </row>
    <row r="2783" spans="1:9" x14ac:dyDescent="0.3">
      <c r="A2783" s="2">
        <v>2782</v>
      </c>
      <c r="B2783" s="4" t="s">
        <v>38</v>
      </c>
      <c r="C2783" s="3" t="str">
        <f>"TFC000004311"</f>
        <v>TFC000004311</v>
      </c>
      <c r="D2783" s="3" t="str">
        <f>"F800-22-0113-(AR3.7)"</f>
        <v>F800-22-0113-(AR3.7)</v>
      </c>
      <c r="E2783" s="3" t="str">
        <f>"The Mystery of the Gold Coin"</f>
        <v>The Mystery of the Gold Coin</v>
      </c>
      <c r="F2783" s="3" t="str">
        <f>"by Harper Paris, illustrated by Marcos Calo"</f>
        <v>by Harper Paris, illustrated by Marcos Calo</v>
      </c>
      <c r="G2783" s="3" t="str">
        <f>"Little Simon"</f>
        <v>Little Simon</v>
      </c>
      <c r="H2783" s="2" t="str">
        <f>"2014"</f>
        <v>2014</v>
      </c>
      <c r="I2783" s="3" t="str">
        <f>""</f>
        <v/>
      </c>
    </row>
    <row r="2784" spans="1:9" x14ac:dyDescent="0.3">
      <c r="A2784" s="2">
        <v>2783</v>
      </c>
      <c r="B2784" s="4" t="s">
        <v>38</v>
      </c>
      <c r="C2784" s="3" t="str">
        <f>"TFC000004484"</f>
        <v>TFC000004484</v>
      </c>
      <c r="D2784" s="3" t="str">
        <f>"F800-22-0293-(AR3.7)"</f>
        <v>F800-22-0293-(AR3.7)</v>
      </c>
      <c r="E2784" s="3" t="str">
        <f>"The Leprechaun Is Finally Gone!"</f>
        <v>The Leprechaun Is Finally Gone!</v>
      </c>
      <c r="F2784" s="3" t="str">
        <f>"by Dan Gutman, pictures by Jim Paillot"</f>
        <v>by Dan Gutman, pictures by Jim Paillot</v>
      </c>
      <c r="G2784" s="3" t="str">
        <f>"Harper"</f>
        <v>Harper</v>
      </c>
      <c r="H2784" s="2" t="str">
        <f>"2022"</f>
        <v>2022</v>
      </c>
      <c r="I2784" s="3" t="str">
        <f>""</f>
        <v/>
      </c>
    </row>
    <row r="2785" spans="1:9" x14ac:dyDescent="0.3">
      <c r="A2785" s="2">
        <v>2784</v>
      </c>
      <c r="B2785" s="4" t="s">
        <v>38</v>
      </c>
      <c r="C2785" s="3" t="str">
        <f>"TFC000004485"</f>
        <v>TFC000004485</v>
      </c>
      <c r="D2785" s="3" t="str">
        <f>"F900-22-0294-(AR3.7)"</f>
        <v>F900-22-0294-(AR3.7)</v>
      </c>
      <c r="E2785" s="3" t="str">
        <f>"Thomas Jefferson and the mammoth hunt"</f>
        <v>Thomas Jefferson and the mammoth hunt</v>
      </c>
      <c r="F2785" s="3" t="str">
        <f>"written by Carrie Clickard, illustrated by Nancy Carpenter"</f>
        <v>written by Carrie Clickard, illustrated by Nancy Carpenter</v>
      </c>
      <c r="G2785" s="3" t="str">
        <f>"Simon &amp; Schuster"</f>
        <v>Simon &amp; Schuster</v>
      </c>
      <c r="H2785" s="2" t="str">
        <f>"2019"</f>
        <v>2019</v>
      </c>
      <c r="I2785" s="3" t="str">
        <f>""</f>
        <v/>
      </c>
    </row>
    <row r="2786" spans="1:9" x14ac:dyDescent="0.3">
      <c r="A2786" s="2">
        <v>2785</v>
      </c>
      <c r="B2786" s="4" t="s">
        <v>38</v>
      </c>
      <c r="C2786" s="3" t="str">
        <f>"TFC000004486"</f>
        <v>TFC000004486</v>
      </c>
      <c r="D2786" s="3" t="str">
        <f>"F800-22-0295-(AR3.7)"</f>
        <v>F800-22-0295-(AR3.7)</v>
      </c>
      <c r="E2786" s="3" t="str">
        <f>"Watercress"</f>
        <v>Watercress</v>
      </c>
      <c r="F2786" s="3" t="str">
        <f>"by Andrea Wang, pictures by Jason Chin"</f>
        <v>by Andrea Wang, pictures by Jason Chin</v>
      </c>
      <c r="G2786" s="3" t="str">
        <f>"Holiday House"</f>
        <v>Holiday House</v>
      </c>
      <c r="H2786" s="2" t="str">
        <f>"2021"</f>
        <v>2021</v>
      </c>
      <c r="I2786" s="3" t="str">
        <f>""</f>
        <v/>
      </c>
    </row>
    <row r="2787" spans="1:9" x14ac:dyDescent="0.3">
      <c r="A2787" s="2">
        <v>2786</v>
      </c>
      <c r="B2787" s="4" t="s">
        <v>38</v>
      </c>
      <c r="C2787" s="3" t="str">
        <f>"TFC000004527"</f>
        <v>TFC000004527</v>
      </c>
      <c r="D2787" s="3" t="str">
        <f>"F800-22-0336-(AR3.7)"</f>
        <v>F800-22-0336-(AR3.7)</v>
      </c>
      <c r="E2787" s="3" t="str">
        <f>"Marcus Makes a Movie"</f>
        <v>Marcus Makes a Movie</v>
      </c>
      <c r="F2787" s="3" t="str">
        <f>"by Kevin Hart, illustrated by David Cooper"</f>
        <v>by Kevin Hart, illustrated by David Cooper</v>
      </c>
      <c r="G2787" s="3" t="str">
        <f>"Crown Books for Young Readers"</f>
        <v>Crown Books for Young Readers</v>
      </c>
      <c r="H2787" s="2" t="str">
        <f>"2021"</f>
        <v>2021</v>
      </c>
      <c r="I2787" s="3" t="str">
        <f>""</f>
        <v/>
      </c>
    </row>
    <row r="2788" spans="1:9" x14ac:dyDescent="0.3">
      <c r="A2788" s="2">
        <v>2787</v>
      </c>
      <c r="B2788" s="4" t="s">
        <v>38</v>
      </c>
      <c r="C2788" s="3" t="str">
        <f>"TFC000004528"</f>
        <v>TFC000004528</v>
      </c>
      <c r="D2788" s="3" t="str">
        <f>"F800-22-0337-(AR3.7)"</f>
        <v>F800-22-0337-(AR3.7)</v>
      </c>
      <c r="E2788" s="3" t="str">
        <f>"This is Not a Drill /"</f>
        <v>This is Not a Drill /</v>
      </c>
      <c r="F2788" s="3" t="str">
        <f>"by K. A. Holt"</f>
        <v>by K. A. Holt</v>
      </c>
      <c r="G2788" s="3" t="str">
        <f>"Scholastic Press,"</f>
        <v>Scholastic Press,</v>
      </c>
      <c r="H2788" s="2" t="str">
        <f>"2022"</f>
        <v>2022</v>
      </c>
      <c r="I2788" s="3" t="str">
        <f>""</f>
        <v/>
      </c>
    </row>
    <row r="2789" spans="1:9" x14ac:dyDescent="0.3">
      <c r="A2789" s="2">
        <v>2788</v>
      </c>
      <c r="B2789" s="4" t="s">
        <v>38</v>
      </c>
      <c r="C2789" s="3" t="str">
        <f>"TFC000004529"</f>
        <v>TFC000004529</v>
      </c>
      <c r="D2789" s="3" t="str">
        <f>"F800-22-0338-(AR3.7)"</f>
        <v>F800-22-0338-(AR3.7)</v>
      </c>
      <c r="E2789" s="3" t="str">
        <f>"(The)Underdogs"</f>
        <v>(The)Underdogs</v>
      </c>
      <c r="F2789" s="3" t="str">
        <f>"by Tracey West, illustrated by Kyla May"</f>
        <v>by Tracey West, illustrated by Kyla May</v>
      </c>
      <c r="G2789" s="3" t="str">
        <f>"Scholastic"</f>
        <v>Scholastic</v>
      </c>
      <c r="H2789" s="2" t="str">
        <f>"2021"</f>
        <v>2021</v>
      </c>
      <c r="I2789" s="3" t="str">
        <f>""</f>
        <v/>
      </c>
    </row>
    <row r="2790" spans="1:9" x14ac:dyDescent="0.3">
      <c r="A2790" s="2">
        <v>2789</v>
      </c>
      <c r="B2790" s="4" t="s">
        <v>38</v>
      </c>
      <c r="C2790" s="3" t="str">
        <f>"TFC000004530"</f>
        <v>TFC000004530</v>
      </c>
      <c r="D2790" s="3" t="str">
        <f>"F800-22-0339-(AR3.7)"</f>
        <v>F800-22-0339-(AR3.7)</v>
      </c>
      <c r="E2790" s="3" t="str">
        <f>"Unicorn playlist : Another phoebe and her unicorn adventure"</f>
        <v>Unicorn playlist : Another phoebe and her unicorn adventure</v>
      </c>
      <c r="F2790" s="3" t="str">
        <f>"by Dana Simpson"</f>
        <v>by Dana Simpson</v>
      </c>
      <c r="G2790" s="3" t="str">
        <f>"Andrews McMeel Publishing"</f>
        <v>Andrews McMeel Publishing</v>
      </c>
      <c r="H2790" s="2" t="str">
        <f>"2021"</f>
        <v>2021</v>
      </c>
      <c r="I2790" s="3" t="str">
        <f>""</f>
        <v/>
      </c>
    </row>
    <row r="2791" spans="1:9" x14ac:dyDescent="0.3">
      <c r="A2791" s="2">
        <v>2790</v>
      </c>
      <c r="B2791" s="4" t="s">
        <v>38</v>
      </c>
      <c r="C2791" s="3" t="str">
        <f>"TFC000004676"</f>
        <v>TFC000004676</v>
      </c>
      <c r="D2791" s="3" t="str">
        <f>"F800-22-0485-(AR3.7)"</f>
        <v>F800-22-0485-(AR3.7)</v>
      </c>
      <c r="E2791" s="3" t="str">
        <f>"(The)Last Firehawk. 3, The Whispering Oak"</f>
        <v>(The)Last Firehawk. 3, The Whispering Oak</v>
      </c>
      <c r="F2791" s="3" t="str">
        <f>"by Katrina Charman"</f>
        <v>by Katrina Charman</v>
      </c>
      <c r="G2791" s="3" t="str">
        <f>"Scholastic"</f>
        <v>Scholastic</v>
      </c>
      <c r="H2791" s="2" t="str">
        <f>"2018"</f>
        <v>2018</v>
      </c>
      <c r="I2791" s="3" t="str">
        <f>""</f>
        <v/>
      </c>
    </row>
    <row r="2792" spans="1:9" x14ac:dyDescent="0.3">
      <c r="A2792" s="2">
        <v>2791</v>
      </c>
      <c r="B2792" s="4" t="s">
        <v>38</v>
      </c>
      <c r="C2792" s="3" t="str">
        <f>"TFC000004692"</f>
        <v>TFC000004692</v>
      </c>
      <c r="D2792" s="3" t="str">
        <f>"F600-22-0501-(AR3.7)"</f>
        <v>F600-22-0501-(AR3.7)</v>
      </c>
      <c r="E2792" s="3" t="str">
        <f>"Mega Man : Mega Powered Hero"</f>
        <v>Mega Man : Mega Powered Hero</v>
      </c>
      <c r="F2792" s="3" t="str">
        <f>"by Kenny Abdo"</f>
        <v>by Kenny Abdo</v>
      </c>
      <c r="G2792" s="3" t="str">
        <f>"Fly"</f>
        <v>Fly</v>
      </c>
      <c r="H2792" s="2" t="str">
        <f>"2021"</f>
        <v>2021</v>
      </c>
      <c r="I2792" s="3" t="str">
        <f>""</f>
        <v/>
      </c>
    </row>
    <row r="2793" spans="1:9" x14ac:dyDescent="0.3">
      <c r="A2793" s="2">
        <v>2792</v>
      </c>
      <c r="B2793" s="4" t="s">
        <v>38</v>
      </c>
      <c r="C2793" s="3" t="str">
        <f>"TFC000004122"</f>
        <v>TFC000004122</v>
      </c>
      <c r="D2793" s="3" t="str">
        <f>"F800-21-0699-1(AR 3.7)"</f>
        <v>F800-21-0699-1(AR 3.7)</v>
      </c>
      <c r="E2793" s="3" t="str">
        <f>"Mac B. kid spy : mac undercover"</f>
        <v>Mac B. kid spy : mac undercover</v>
      </c>
      <c r="F2793" s="3" t="str">
        <f>"by Mac Barnett, illustrated by Mike Lowery"</f>
        <v>by Mac Barnett, illustrated by Mike Lowery</v>
      </c>
      <c r="G2793" s="3" t="str">
        <f>"Orchard Books"</f>
        <v>Orchard Books</v>
      </c>
      <c r="H2793" s="2" t="str">
        <f>"2018"</f>
        <v>2018</v>
      </c>
      <c r="I2793" s="3" t="str">
        <f>""</f>
        <v/>
      </c>
    </row>
    <row r="2794" spans="1:9" x14ac:dyDescent="0.3">
      <c r="A2794" s="2">
        <v>2793</v>
      </c>
      <c r="B2794" s="4">
        <v>3.7</v>
      </c>
      <c r="C2794" s="3" t="str">
        <f>"TFC000001793"</f>
        <v>TFC000001793</v>
      </c>
      <c r="D2794" s="3" t="str">
        <f>"F800-20-1987-15(AR 3.7)"</f>
        <v>F800-20-1987-15(AR 3.7)</v>
      </c>
      <c r="E2794" s="3" t="str">
        <f>"(The)triceratops pops mystery"</f>
        <v>(The)triceratops pops mystery</v>
      </c>
      <c r="F2794" s="3" t="str">
        <f>"by David A. Adler ; illustrated by Susanna Natti"</f>
        <v>by David A. Adler ; illustrated by Susanna Natti</v>
      </c>
      <c r="G2794" s="3" t="str">
        <f>"Puffin Books"</f>
        <v>Puffin Books</v>
      </c>
      <c r="H2794" s="2" t="str">
        <f>"2011"</f>
        <v>2011</v>
      </c>
      <c r="I2794" s="3" t="str">
        <f>""</f>
        <v/>
      </c>
    </row>
    <row r="2795" spans="1:9" x14ac:dyDescent="0.3">
      <c r="A2795" s="2">
        <v>2794</v>
      </c>
      <c r="B2795" s="4">
        <v>3.7</v>
      </c>
      <c r="C2795" s="3" t="str">
        <f>"TFC000001762"</f>
        <v>TFC000001762</v>
      </c>
      <c r="D2795" s="3" t="str">
        <f>"F400-20-1956-18(AR 3.7)"</f>
        <v>F400-20-1956-18(AR 3.7)</v>
      </c>
      <c r="E2795" s="3" t="str">
        <f>"Andrew lost. 18, With the frogs"</f>
        <v>Andrew lost. 18, With the frogs</v>
      </c>
      <c r="F2795" s="3" t="str">
        <f>"by J.C. Greenburg ; illustrated by Jan Gerardi"</f>
        <v>by J.C. Greenburg ; illustrated by Jan Gerardi</v>
      </c>
      <c r="G2795" s="3" t="str">
        <f>"Random house"</f>
        <v>Random house</v>
      </c>
      <c r="H2795" s="2" t="str">
        <f>"2008"</f>
        <v>2008</v>
      </c>
      <c r="I2795" s="3" t="str">
        <f>""</f>
        <v/>
      </c>
    </row>
    <row r="2796" spans="1:9" x14ac:dyDescent="0.3">
      <c r="A2796" s="2">
        <v>2795</v>
      </c>
      <c r="B2796" s="4">
        <v>3.7</v>
      </c>
      <c r="C2796" s="3" t="str">
        <f>"TFC000001759"</f>
        <v>TFC000001759</v>
      </c>
      <c r="D2796" s="3" t="str">
        <f>"F400-20-1953-2(AR 3.7)"</f>
        <v>F400-20-1953-2(AR 3.7)</v>
      </c>
      <c r="E2796" s="3" t="str">
        <f>"Andrew lost. 2, in the bathroom"</f>
        <v>Andrew lost. 2, in the bathroom</v>
      </c>
      <c r="F2796" s="3" t="str">
        <f>"by J.C. Greenburg ; illustrated by Debbie Palen"</f>
        <v>by J.C. Greenburg ; illustrated by Debbie Palen</v>
      </c>
      <c r="G2796" s="3" t="str">
        <f>"Random House"</f>
        <v>Random House</v>
      </c>
      <c r="H2796" s="2" t="str">
        <f>"2002"</f>
        <v>2002</v>
      </c>
      <c r="I2796" s="3" t="str">
        <f>""</f>
        <v/>
      </c>
    </row>
    <row r="2797" spans="1:9" x14ac:dyDescent="0.3">
      <c r="A2797" s="2">
        <v>2796</v>
      </c>
      <c r="B2797" s="4">
        <v>3.7</v>
      </c>
      <c r="C2797" s="3" t="str">
        <f>"TFC000001801"</f>
        <v>TFC000001801</v>
      </c>
      <c r="D2797" s="3" t="str">
        <f>"F800-20-1995-2(AR 3.7)"</f>
        <v>F800-20-1995-2(AR 3.7)</v>
      </c>
      <c r="E2797" s="3" t="str">
        <f>"(The)hardy boys secret files. 2, the missing mitt"</f>
        <v>(The)hardy boys secret files. 2, the missing mitt</v>
      </c>
      <c r="F2797" s="3" t="str">
        <f>"by Franklin W. Dixon ; illustrated by Scott Burroughs"</f>
        <v>by Franklin W. Dixon ; illustrated by Scott Burroughs</v>
      </c>
      <c r="G2797" s="3" t="str">
        <f>"Aladdin"</f>
        <v>Aladdin</v>
      </c>
      <c r="H2797" s="2" t="str">
        <f>"2010"</f>
        <v>2010</v>
      </c>
      <c r="I2797" s="3" t="str">
        <f>""</f>
        <v/>
      </c>
    </row>
    <row r="2798" spans="1:9" x14ac:dyDescent="0.3">
      <c r="A2798" s="2">
        <v>2797</v>
      </c>
      <c r="B2798" s="4">
        <v>3.7</v>
      </c>
      <c r="C2798" s="3" t="str">
        <f>"TFC000004712"</f>
        <v>TFC000004712</v>
      </c>
      <c r="D2798" s="3" t="str">
        <f>"F800-22-0519-3(AR 3.7)"</f>
        <v>F800-22-0519-3(AR 3.7)</v>
      </c>
      <c r="E2798" s="3" t="str">
        <f>"(The)39-Storey Treehouse"</f>
        <v>(The)39-Storey Treehouse</v>
      </c>
      <c r="F2798" s="3" t="str">
        <f>"by Andy Griffiths, illustrated by Terry Denton"</f>
        <v>by Andy Griffiths, illustrated by Terry Denton</v>
      </c>
      <c r="G2798" s="3" t="str">
        <f>"Macmillan Children's Books"</f>
        <v>Macmillan Children's Books</v>
      </c>
      <c r="H2798" s="2" t="str">
        <f>"2015"</f>
        <v>2015</v>
      </c>
      <c r="I2798" s="3" t="str">
        <f>""</f>
        <v/>
      </c>
    </row>
    <row r="2799" spans="1:9" x14ac:dyDescent="0.3">
      <c r="A2799" s="2">
        <v>2798</v>
      </c>
      <c r="B2799" s="4">
        <v>3.7</v>
      </c>
      <c r="C2799" s="3" t="str">
        <f>"TFC000004121"</f>
        <v>TFC000004121</v>
      </c>
      <c r="D2799" s="3" t="str">
        <f>"F800-21-0698-4(AR 3.7)"</f>
        <v>F800-21-0698-4(AR 3.7)</v>
      </c>
      <c r="E2799" s="3" t="str">
        <f>"Mac B. Kid Spy. 4, Mac cracks the code"</f>
        <v>Mac B. Kid Spy. 4, Mac cracks the code</v>
      </c>
      <c r="F2799" s="3" t="str">
        <f>"by Mac Barnett, illustrated by Mike Lowery"</f>
        <v>by Mac Barnett, illustrated by Mike Lowery</v>
      </c>
      <c r="G2799" s="3" t="str">
        <f>"Orchard Books"</f>
        <v>Orchard Books</v>
      </c>
      <c r="H2799" s="2" t="str">
        <f>"2020"</f>
        <v>2020</v>
      </c>
      <c r="I2799" s="3" t="str">
        <f>""</f>
        <v/>
      </c>
    </row>
    <row r="2800" spans="1:9" x14ac:dyDescent="0.3">
      <c r="A2800" s="2">
        <v>2799</v>
      </c>
      <c r="B2800" s="4">
        <v>3.7</v>
      </c>
      <c r="C2800" s="3" t="str">
        <f>"TFC000001789"</f>
        <v>TFC000001789</v>
      </c>
      <c r="D2800" s="3" t="str">
        <f>"F800-20-1983-5(AR 3.7)"</f>
        <v>F800-20-1983-5(AR 3.7)</v>
      </c>
      <c r="E2800" s="3" t="str">
        <f>"(The)mystery of the gold coins"</f>
        <v>(The)mystery of the gold coins</v>
      </c>
      <c r="F2800" s="3" t="str">
        <f>"by David A. Adler ; illustrated by Susanna Natti"</f>
        <v>by David A. Adler ; illustrated by Susanna Natti</v>
      </c>
      <c r="G2800" s="3" t="str">
        <f>"Puffin Books"</f>
        <v>Puffin Books</v>
      </c>
      <c r="H2800" s="2" t="str">
        <f>"2010"</f>
        <v>2010</v>
      </c>
      <c r="I2800" s="3" t="str">
        <f>""</f>
        <v/>
      </c>
    </row>
    <row r="2801" spans="1:9" x14ac:dyDescent="0.3">
      <c r="A2801" s="2">
        <v>2800</v>
      </c>
      <c r="B2801" s="4">
        <v>3.7</v>
      </c>
      <c r="C2801" s="3" t="str">
        <f>"TFC000004298"</f>
        <v>TFC000004298</v>
      </c>
      <c r="D2801" s="3" t="str">
        <f>"F800-22-0050-5(AR 3.7)"</f>
        <v>F800-22-0050-5(AR 3.7)</v>
      </c>
      <c r="E2801" s="3" t="str">
        <f>"Mac B. kid spy. 5, (The)sound of danger"</f>
        <v>Mac B. kid spy. 5, (The)sound of danger</v>
      </c>
      <c r="F2801" s="3" t="str">
        <f>"by Mac Barnett, illustrated by Mike Lowery"</f>
        <v>by Mac Barnett, illustrated by Mike Lowery</v>
      </c>
      <c r="G2801" s="3" t="str">
        <f>"Orchard Books"</f>
        <v>Orchard Books</v>
      </c>
      <c r="H2801" s="2" t="str">
        <f>"2020"</f>
        <v>2020</v>
      </c>
      <c r="I2801" s="3" t="str">
        <f>""</f>
        <v/>
      </c>
    </row>
    <row r="2802" spans="1:9" x14ac:dyDescent="0.3">
      <c r="A2802" s="2">
        <v>2801</v>
      </c>
      <c r="B2802" s="4">
        <v>3.7</v>
      </c>
      <c r="C2802" s="3" t="str">
        <f>"TFC000001760"</f>
        <v>TFC000001760</v>
      </c>
      <c r="D2802" s="3" t="str">
        <f>"F400-20-1954-6(AR 3.7)"</f>
        <v>F400-20-1954-6(AR 3.7)</v>
      </c>
      <c r="E2802" s="3" t="str">
        <f>"Andrew lost. 6, in the whale"</f>
        <v>Andrew lost. 6, in the whale</v>
      </c>
      <c r="F2802" s="3" t="str">
        <f>"by J.C. Greenburg ; illustrated by Mike Reed"</f>
        <v>by J.C. Greenburg ; illustrated by Mike Reed</v>
      </c>
      <c r="G2802" s="3" t="str">
        <f>"Random House"</f>
        <v>Random House</v>
      </c>
      <c r="H2802" s="2" t="str">
        <f>"2003"</f>
        <v>2003</v>
      </c>
      <c r="I2802" s="3" t="str">
        <f>""</f>
        <v/>
      </c>
    </row>
    <row r="2803" spans="1:9" x14ac:dyDescent="0.3">
      <c r="A2803" s="2">
        <v>2802</v>
      </c>
      <c r="B2803" s="4" t="s">
        <v>38</v>
      </c>
      <c r="C2803" s="3" t="str">
        <f>"TFC000001761"</f>
        <v>TFC000001761</v>
      </c>
      <c r="D2803" s="3" t="str">
        <f>"F400-20-1955-8(AR 3.7)"</f>
        <v>F400-20-1955-8(AR 3.7)</v>
      </c>
      <c r="E2803" s="3" t="str">
        <f>"Andrew lost. 8, in the deep"</f>
        <v>Andrew lost. 8, in the deep</v>
      </c>
      <c r="F2803" s="3" t="str">
        <f>"by J.C. Greenburg ; illustrated by Jan Gerardi"</f>
        <v>by J.C. Greenburg ; illustrated by Jan Gerardi</v>
      </c>
      <c r="G2803" s="3" t="str">
        <f>"Random House"</f>
        <v>Random House</v>
      </c>
      <c r="H2803" s="2" t="str">
        <f>"2004"</f>
        <v>2004</v>
      </c>
      <c r="I2803" s="3" t="str">
        <f>""</f>
        <v/>
      </c>
    </row>
    <row r="2804" spans="1:9" x14ac:dyDescent="0.3">
      <c r="A2804" s="2">
        <v>2803</v>
      </c>
      <c r="B2804" s="4" t="s">
        <v>38</v>
      </c>
      <c r="C2804" s="3" t="str">
        <f>"TFC000001790"</f>
        <v>TFC000001790</v>
      </c>
      <c r="D2804" s="3" t="str">
        <f>"F800-20-1984-9(AR 3.7)"</f>
        <v>F800-20-1984-9(AR 3.7)</v>
      </c>
      <c r="E2804" s="3" t="str">
        <f>"(The)mystery of the carnival prize"</f>
        <v>(The)mystery of the carnival prize</v>
      </c>
      <c r="F2804" s="3" t="str">
        <f>"by David A. Adler ; illustrated by Susanna Natti"</f>
        <v>by David A. Adler ; illustrated by Susanna Natti</v>
      </c>
      <c r="G2804" s="3" t="str">
        <f>"Puffin Books"</f>
        <v>Puffin Books</v>
      </c>
      <c r="H2804" s="2" t="str">
        <f>"2004"</f>
        <v>2004</v>
      </c>
      <c r="I2804" s="3" t="str">
        <f>""</f>
        <v/>
      </c>
    </row>
    <row r="2805" spans="1:9" x14ac:dyDescent="0.3">
      <c r="A2805" s="2">
        <v>2804</v>
      </c>
      <c r="B2805" s="4" t="s">
        <v>39</v>
      </c>
      <c r="C2805" s="3" t="str">
        <f>"TFC000001900"</f>
        <v>TFC000001900</v>
      </c>
      <c r="D2805" s="3" t="str">
        <f>"F800-20-2099-(AR 3.8)"</f>
        <v>F800-20-2099-(AR 3.8)</v>
      </c>
      <c r="E2805" s="3" t="str">
        <f>"(The)tempest"</f>
        <v>(The)tempest</v>
      </c>
      <c r="F2805" s="3" t="str">
        <f>"absed on the play by William Shakespeare ; retold by Rosie Dickins ; illustrated by Christa Unzner"</f>
        <v>absed on the play by William Shakespeare ; retold by Rosie Dickins ; illustrated by Christa Unzner</v>
      </c>
      <c r="G2805" s="3" t="str">
        <f>"Usborne"</f>
        <v>Usborne</v>
      </c>
      <c r="H2805" s="2" t="str">
        <f>"2010"</f>
        <v>2010</v>
      </c>
      <c r="I2805" s="2" t="s">
        <v>2</v>
      </c>
    </row>
    <row r="2806" spans="1:9" x14ac:dyDescent="0.3">
      <c r="A2806" s="2">
        <v>2805</v>
      </c>
      <c r="B2806" s="4" t="s">
        <v>39</v>
      </c>
      <c r="C2806" s="3" t="str">
        <f>"TFC000001891"</f>
        <v>TFC000001891</v>
      </c>
      <c r="D2806" s="3" t="str">
        <f>"F800-20-2091-(AR 3.8)"</f>
        <v>F800-20-2091-(AR 3.8)</v>
      </c>
      <c r="E2806" s="3" t="str">
        <f>"(Stories of)mermaids"</f>
        <v>(Stories of)mermaids</v>
      </c>
      <c r="F2806" s="3" t="str">
        <f>"retold by Russell Punter ; illustrated by Desideria Guicciardini"</f>
        <v>retold by Russell Punter ; illustrated by Desideria Guicciardini</v>
      </c>
      <c r="G2806" s="3" t="str">
        <f>"Usborne"</f>
        <v>Usborne</v>
      </c>
      <c r="H2806" s="2" t="str">
        <f>"2007"</f>
        <v>2007</v>
      </c>
      <c r="I2806" s="2" t="s">
        <v>2</v>
      </c>
    </row>
    <row r="2807" spans="1:9" x14ac:dyDescent="0.3">
      <c r="A2807" s="2">
        <v>2806</v>
      </c>
      <c r="B2807" s="4" t="s">
        <v>39</v>
      </c>
      <c r="C2807" s="3" t="str">
        <f>"TFC000001846"</f>
        <v>TFC000001846</v>
      </c>
      <c r="D2807" s="3" t="str">
        <f>"F400-20-2046-(AR 3.8)"</f>
        <v>F400-20-2046-(AR 3.8)</v>
      </c>
      <c r="E2807" s="3" t="str">
        <f>"What's your angle Pythagoras? : a math adventure"</f>
        <v>What's your angle Pythagoras? : a math adventure</v>
      </c>
      <c r="F2807" s="3" t="str">
        <f>"by Julie Ellis ; illustrated by Phyllis Hornung"</f>
        <v>by Julie Ellis ; illustrated by Phyllis Hornung</v>
      </c>
      <c r="G2807" s="3" t="str">
        <f>"Scholastic"</f>
        <v>Scholastic</v>
      </c>
      <c r="H2807" s="2" t="str">
        <f>"2004"</f>
        <v>2004</v>
      </c>
      <c r="I2807" s="3" t="str">
        <f>""</f>
        <v/>
      </c>
    </row>
    <row r="2808" spans="1:9" x14ac:dyDescent="0.3">
      <c r="A2808" s="2">
        <v>2807</v>
      </c>
      <c r="B2808" s="4" t="s">
        <v>39</v>
      </c>
      <c r="C2808" s="3" t="str">
        <f>"TFC000001847"</f>
        <v>TFC000001847</v>
      </c>
      <c r="D2808" s="3" t="str">
        <f>"F400-20-2047-(AR 3.8)"</f>
        <v>F400-20-2047-(AR 3.8)</v>
      </c>
      <c r="E2808" s="3" t="str">
        <f>"(Wild weather)hurricanes!"</f>
        <v>(Wild weather)hurricanes!</v>
      </c>
      <c r="F2808" s="3" t="str">
        <f>"by Lorraine Jean Hopping ; illustrated by Jody Wheeler"</f>
        <v>by Lorraine Jean Hopping ; illustrated by Jody Wheeler</v>
      </c>
      <c r="G2808" s="3" t="str">
        <f>"Scholastic"</f>
        <v>Scholastic</v>
      </c>
      <c r="H2808" s="2" t="str">
        <f>"1995"</f>
        <v>1995</v>
      </c>
      <c r="I2808" s="3" t="str">
        <f>""</f>
        <v/>
      </c>
    </row>
    <row r="2809" spans="1:9" x14ac:dyDescent="0.3">
      <c r="A2809" s="2">
        <v>2808</v>
      </c>
      <c r="B2809" s="4" t="s">
        <v>39</v>
      </c>
      <c r="C2809" s="3" t="str">
        <f>"TFC000001849"</f>
        <v>TFC000001849</v>
      </c>
      <c r="D2809" s="3" t="str">
        <f>"F800-20-2050-(AR 3.8)"</f>
        <v>F800-20-2050-(AR 3.8)</v>
      </c>
      <c r="E2809" s="3" t="str">
        <f>"King Arthur"</f>
        <v>King Arthur</v>
      </c>
      <c r="F2809" s="3" t="str">
        <f>"by Marc Brown ; text by Stephen Krensky"</f>
        <v>by Marc Brown ; text by Stephen Krensky</v>
      </c>
      <c r="G2809" s="3" t="str">
        <f>"Little, Brown and Company"</f>
        <v>Little, Brown and Company</v>
      </c>
      <c r="H2809" s="2" t="str">
        <f>"2012"</f>
        <v>2012</v>
      </c>
      <c r="I2809" s="3" t="str">
        <f>""</f>
        <v/>
      </c>
    </row>
    <row r="2810" spans="1:9" x14ac:dyDescent="0.3">
      <c r="A2810" s="2">
        <v>2809</v>
      </c>
      <c r="B2810" s="4" t="s">
        <v>39</v>
      </c>
      <c r="C2810" s="3" t="str">
        <f>"TFC000001850"</f>
        <v>TFC000001850</v>
      </c>
      <c r="D2810" s="3" t="str">
        <f>"F800-20-2051-(AR 3.8)"</f>
        <v>F800-20-2051-(AR 3.8)</v>
      </c>
      <c r="E2810" s="3" t="str">
        <f>"Crazy lady!"</f>
        <v>Crazy lady!</v>
      </c>
      <c r="F2810" s="3" t="str">
        <f>"by Jane Leslie Conly"</f>
        <v>by Jane Leslie Conly</v>
      </c>
      <c r="G2810" s="3" t="str">
        <f>"HarperTrophy"</f>
        <v>HarperTrophy</v>
      </c>
      <c r="H2810" s="2" t="str">
        <f>"1995"</f>
        <v>1995</v>
      </c>
      <c r="I2810" s="3" t="str">
        <f>""</f>
        <v/>
      </c>
    </row>
    <row r="2811" spans="1:9" x14ac:dyDescent="0.3">
      <c r="A2811" s="2">
        <v>2810</v>
      </c>
      <c r="B2811" s="4" t="s">
        <v>39</v>
      </c>
      <c r="C2811" s="3" t="str">
        <f>"TFC000001851"</f>
        <v>TFC000001851</v>
      </c>
      <c r="D2811" s="3" t="str">
        <f>"F800-20-2052-(AR 3.8)"</f>
        <v>F800-20-2052-(AR 3.8)</v>
      </c>
      <c r="E2811" s="3" t="str">
        <f>"Miss Rumphius"</f>
        <v>Miss Rumphius</v>
      </c>
      <c r="F2811" s="3" t="str">
        <f>"story and pictures by Barbara Cooney"</f>
        <v>story and pictures by Barbara Cooney</v>
      </c>
      <c r="G2811" s="3" t="str">
        <f>"Puffin Books"</f>
        <v>Puffin Books</v>
      </c>
      <c r="H2811" s="2" t="str">
        <f>"1985"</f>
        <v>1985</v>
      </c>
      <c r="I2811" s="3" t="str">
        <f>""</f>
        <v/>
      </c>
    </row>
    <row r="2812" spans="1:9" x14ac:dyDescent="0.3">
      <c r="A2812" s="2">
        <v>2811</v>
      </c>
      <c r="B2812" s="4" t="s">
        <v>39</v>
      </c>
      <c r="C2812" s="3" t="str">
        <f>"TFC000001852"</f>
        <v>TFC000001852</v>
      </c>
      <c r="D2812" s="3" t="str">
        <f>"F800-20-2053-(AR 3.8)"</f>
        <v>F800-20-2053-(AR 3.8)</v>
      </c>
      <c r="E2812" s="3" t="str">
        <f>"Just juice"</f>
        <v>Just juice</v>
      </c>
      <c r="F2812" s="3" t="str">
        <f>"Karen Hesse ; pictures by Robert Andrew Parker"</f>
        <v>Karen Hesse ; pictures by Robert Andrew Parker</v>
      </c>
      <c r="G2812" s="3" t="str">
        <f>"Scholastic"</f>
        <v>Scholastic</v>
      </c>
      <c r="H2812" s="2" t="str">
        <f>"2005"</f>
        <v>2005</v>
      </c>
      <c r="I2812" s="3" t="str">
        <f>""</f>
        <v/>
      </c>
    </row>
    <row r="2813" spans="1:9" x14ac:dyDescent="0.3">
      <c r="A2813" s="2">
        <v>2812</v>
      </c>
      <c r="B2813" s="4" t="s">
        <v>39</v>
      </c>
      <c r="C2813" s="3" t="str">
        <f>"TFC000001853"</f>
        <v>TFC000001853</v>
      </c>
      <c r="D2813" s="3" t="str">
        <f>"F800-20-2054-(AR 3.8)"</f>
        <v>F800-20-2054-(AR 3.8)</v>
      </c>
      <c r="E2813" s="3" t="str">
        <f>"(Dr. Seuss's)horse museum"</f>
        <v>(Dr. Seuss's)horse museum</v>
      </c>
      <c r="F2813" s="3" t="str">
        <f>"Dr. Seuss ; illustrated by Andrew Joyner"</f>
        <v>Dr. Seuss ; illustrated by Andrew Joyner</v>
      </c>
      <c r="G2813" s="3" t="str">
        <f>"Random House Books for Young Readers"</f>
        <v>Random House Books for Young Readers</v>
      </c>
      <c r="H2813" s="2" t="str">
        <f>"2019"</f>
        <v>2019</v>
      </c>
      <c r="I2813" s="3" t="str">
        <f>""</f>
        <v/>
      </c>
    </row>
    <row r="2814" spans="1:9" x14ac:dyDescent="0.3">
      <c r="A2814" s="2">
        <v>2813</v>
      </c>
      <c r="B2814" s="4" t="s">
        <v>39</v>
      </c>
      <c r="C2814" s="3" t="str">
        <f>"TFC000001854"</f>
        <v>TFC000001854</v>
      </c>
      <c r="D2814" s="3" t="str">
        <f>"F800-20-2055-(AR 3.8)"</f>
        <v>F800-20-2055-(AR 3.8)</v>
      </c>
      <c r="E2814" s="3" t="str">
        <f>"(The)great Jeff"</f>
        <v>(The)great Jeff</v>
      </c>
      <c r="F2814" s="3" t="str">
        <f>"Tony Abbott"</f>
        <v>Tony Abbott</v>
      </c>
      <c r="G2814" s="3" t="str">
        <f>"Little, Brown and Company"</f>
        <v>Little, Brown and Company</v>
      </c>
      <c r="H2814" s="2" t="str">
        <f>"2019"</f>
        <v>2019</v>
      </c>
      <c r="I2814" s="3" t="str">
        <f>""</f>
        <v/>
      </c>
    </row>
    <row r="2815" spans="1:9" x14ac:dyDescent="0.3">
      <c r="A2815" s="2">
        <v>2814</v>
      </c>
      <c r="B2815" s="4" t="s">
        <v>39</v>
      </c>
      <c r="C2815" s="3" t="str">
        <f>"TFC000001858"</f>
        <v>TFC000001858</v>
      </c>
      <c r="D2815" s="3" t="str">
        <f>"F800-20-2059-(AR 3.8)"</f>
        <v>F800-20-2059-(AR 3.8)</v>
      </c>
      <c r="E2815" s="3" t="str">
        <f>"Giraffes can't dance"</f>
        <v>Giraffes can't dance</v>
      </c>
      <c r="F2815" s="3" t="str">
        <f>"Giles Andreae ; illustrated by Guy ParkerRees"</f>
        <v>Giles Andreae ; illustrated by Guy ParkerRees</v>
      </c>
      <c r="G2815" s="3" t="str">
        <f>"Orchard Books"</f>
        <v>Orchard Books</v>
      </c>
      <c r="H2815" s="2" t="str">
        <f>"2001"</f>
        <v>2001</v>
      </c>
      <c r="I2815" s="3" t="str">
        <f>""</f>
        <v/>
      </c>
    </row>
    <row r="2816" spans="1:9" x14ac:dyDescent="0.3">
      <c r="A2816" s="2">
        <v>2815</v>
      </c>
      <c r="B2816" s="4" t="s">
        <v>39</v>
      </c>
      <c r="C2816" s="3" t="str">
        <f>"TFC000001859"</f>
        <v>TFC000001859</v>
      </c>
      <c r="D2816" s="3" t="str">
        <f>"F800-20-2060-(AR 3.8)"</f>
        <v>F800-20-2060-(AR 3.8)</v>
      </c>
      <c r="E2816" s="3" t="str">
        <f>"(The)other half of happy"</f>
        <v>(The)other half of happy</v>
      </c>
      <c r="F2816" s="3" t="str">
        <f>"by Rebecca Balcarcel"</f>
        <v>by Rebecca Balcarcel</v>
      </c>
      <c r="G2816" s="3" t="str">
        <f>"Chronicle Books"</f>
        <v>Chronicle Books</v>
      </c>
      <c r="H2816" s="2" t="str">
        <f>"2019"</f>
        <v>2019</v>
      </c>
      <c r="I2816" s="3" t="str">
        <f>""</f>
        <v/>
      </c>
    </row>
    <row r="2817" spans="1:9" x14ac:dyDescent="0.3">
      <c r="A2817" s="2">
        <v>2816</v>
      </c>
      <c r="B2817" s="4" t="s">
        <v>39</v>
      </c>
      <c r="C2817" s="3" t="str">
        <f>"TFC000001860"</f>
        <v>TFC000001860</v>
      </c>
      <c r="D2817" s="3" t="str">
        <f>"F800-20-2061-(AR 3.8)"</f>
        <v>F800-20-2061-(AR 3.8)</v>
      </c>
      <c r="E2817" s="3" t="str">
        <f>"Crown an ode to the fresh cut"</f>
        <v>Crown an ode to the fresh cut</v>
      </c>
      <c r="F2817" s="3" t="str">
        <f>"Derrick Barnes ; illustrated by Gordon C. James"</f>
        <v>Derrick Barnes ; illustrated by Gordon C. James</v>
      </c>
      <c r="G2817" s="3" t="str">
        <f>"Bolden"</f>
        <v>Bolden</v>
      </c>
      <c r="H2817" s="2" t="str">
        <f>"2017"</f>
        <v>2017</v>
      </c>
      <c r="I2817" s="3" t="str">
        <f>""</f>
        <v/>
      </c>
    </row>
    <row r="2818" spans="1:9" x14ac:dyDescent="0.3">
      <c r="A2818" s="2">
        <v>2817</v>
      </c>
      <c r="B2818" s="4" t="s">
        <v>39</v>
      </c>
      <c r="C2818" s="3" t="str">
        <f>"TFC000001861"</f>
        <v>TFC000001861</v>
      </c>
      <c r="D2818" s="3" t="str">
        <f>"F800-20-2062-(AR 3.8)"</f>
        <v>F800-20-2062-(AR 3.8)</v>
      </c>
      <c r="E2818" s="3" t="str">
        <f>"Momentous events in the life of a cactus"</f>
        <v>Momentous events in the life of a cactus</v>
      </c>
      <c r="F2818" s="3" t="str">
        <f>"Dusti Bowling"</f>
        <v>Dusti Bowling</v>
      </c>
      <c r="G2818" s="3" t="str">
        <f>"Sterling Children's Books"</f>
        <v>Sterling Children's Books</v>
      </c>
      <c r="H2818" s="2" t="str">
        <f>"2019"</f>
        <v>2019</v>
      </c>
      <c r="I2818" s="3" t="str">
        <f>""</f>
        <v/>
      </c>
    </row>
    <row r="2819" spans="1:9" x14ac:dyDescent="0.3">
      <c r="A2819" s="2">
        <v>2818</v>
      </c>
      <c r="B2819" s="4" t="s">
        <v>39</v>
      </c>
      <c r="C2819" s="3" t="str">
        <f>"TFC000001862"</f>
        <v>TFC000001862</v>
      </c>
      <c r="D2819" s="3" t="str">
        <f>"F800-20-2063-(AR 3.8)"</f>
        <v>F800-20-2063-(AR 3.8)</v>
      </c>
      <c r="E2819" s="3" t="str">
        <f>"(The)great kapok tree : a tale of the Amazon rain forest"</f>
        <v>(The)great kapok tree : a tale of the Amazon rain forest</v>
      </c>
      <c r="F2819" s="3" t="str">
        <f>"by Lynne Cherry"</f>
        <v>by Lynne Cherry</v>
      </c>
      <c r="G2819" s="3" t="str">
        <f>"Voyager Books"</f>
        <v>Voyager Books</v>
      </c>
      <c r="H2819" s="2" t="str">
        <f>"2000"</f>
        <v>2000</v>
      </c>
      <c r="I2819" s="3" t="str">
        <f>""</f>
        <v/>
      </c>
    </row>
    <row r="2820" spans="1:9" x14ac:dyDescent="0.3">
      <c r="A2820" s="2">
        <v>2819</v>
      </c>
      <c r="B2820" s="4" t="s">
        <v>39</v>
      </c>
      <c r="C2820" s="3" t="str">
        <f>"TFC000001863"</f>
        <v>TFC000001863</v>
      </c>
      <c r="D2820" s="3" t="str">
        <f>"F800-20-2064-(AR 3.8)"</f>
        <v>F800-20-2064-(AR 3.8)</v>
      </c>
      <c r="E2820" s="3" t="str">
        <f>"Vote!"</f>
        <v>Vote!</v>
      </c>
      <c r="F2820" s="3" t="str">
        <f>"Eileen Christelow"</f>
        <v>Eileen Christelow</v>
      </c>
      <c r="G2820" s="3" t="str">
        <f>"Houghton Mifflin Harcourt"</f>
        <v>Houghton Mifflin Harcourt</v>
      </c>
      <c r="H2820" s="2" t="str">
        <f>"2003"</f>
        <v>2003</v>
      </c>
      <c r="I2820" s="3" t="str">
        <f>""</f>
        <v/>
      </c>
    </row>
    <row r="2821" spans="1:9" x14ac:dyDescent="0.3">
      <c r="A2821" s="2">
        <v>2820</v>
      </c>
      <c r="B2821" s="4" t="s">
        <v>39</v>
      </c>
      <c r="C2821" s="3" t="str">
        <f>"TFC000001864"</f>
        <v>TFC000001864</v>
      </c>
      <c r="D2821" s="3" t="str">
        <f>"F800-20-2065-(AR 3.8)"</f>
        <v>F800-20-2065-(AR 3.8)</v>
      </c>
      <c r="E2821" s="3" t="str">
        <f>"My mouth is a volcano!"</f>
        <v>My mouth is a volcano!</v>
      </c>
      <c r="F2821" s="3" t="str">
        <f>"written by Julia Cook ; illustrated by Carrie Hartman"</f>
        <v>written by Julia Cook ; illustrated by Carrie Hartman</v>
      </c>
      <c r="G2821" s="3" t="str">
        <f>"National Center for Youth Issues"</f>
        <v>National Center for Youth Issues</v>
      </c>
      <c r="H2821" s="2" t="str">
        <f>"2018"</f>
        <v>2018</v>
      </c>
      <c r="I2821" s="3" t="str">
        <f>""</f>
        <v/>
      </c>
    </row>
    <row r="2822" spans="1:9" x14ac:dyDescent="0.3">
      <c r="A2822" s="2">
        <v>2821</v>
      </c>
      <c r="B2822" s="4" t="s">
        <v>39</v>
      </c>
      <c r="C2822" s="3" t="str">
        <f>"TFC000001865"</f>
        <v>TFC000001865</v>
      </c>
      <c r="D2822" s="3" t="str">
        <f>"F800-20-2066-(AR 3.8)"</f>
        <v>F800-20-2066-(AR 3.8)</v>
      </c>
      <c r="E2822" s="3" t="str">
        <f>"Heidi Heckelbeck lights! camera! awesome!"</f>
        <v>Heidi Heckelbeck lights! camera! awesome!</v>
      </c>
      <c r="F2822" s="3" t="str">
        <f>"by Wanda Coven ; illustrated by Priscilla Burris"</f>
        <v>by Wanda Coven ; illustrated by Priscilla Burris</v>
      </c>
      <c r="G2822" s="3" t="str">
        <f>"Little Simon"</f>
        <v>Little Simon</v>
      </c>
      <c r="H2822" s="2" t="str">
        <f>"2018"</f>
        <v>2018</v>
      </c>
      <c r="I2822" s="3" t="str">
        <f>""</f>
        <v/>
      </c>
    </row>
    <row r="2823" spans="1:9" x14ac:dyDescent="0.3">
      <c r="A2823" s="2">
        <v>2822</v>
      </c>
      <c r="B2823" s="4" t="s">
        <v>39</v>
      </c>
      <c r="C2823" s="3" t="str">
        <f>"TFC000001867"</f>
        <v>TFC000001867</v>
      </c>
      <c r="D2823" s="3" t="str">
        <f>"F800-20-2068-(AR 3.8)"</f>
        <v>F800-20-2068-(AR 3.8)</v>
      </c>
      <c r="E2823" s="3" t="str">
        <f>"First kids"</f>
        <v>First kids</v>
      </c>
      <c r="F2823" s="3" t="str">
        <f>"by Gibbs Davis ; illustrated by Sally Wern Comport"</f>
        <v>by Gibbs Davis ; illustrated by Sally Wern Comport</v>
      </c>
      <c r="G2823" s="3" t="str">
        <f>"Random House"</f>
        <v>Random House</v>
      </c>
      <c r="H2823" s="2" t="str">
        <f>"2004"</f>
        <v>2004</v>
      </c>
      <c r="I2823" s="3" t="str">
        <f>""</f>
        <v/>
      </c>
    </row>
    <row r="2824" spans="1:9" x14ac:dyDescent="0.3">
      <c r="A2824" s="2">
        <v>2823</v>
      </c>
      <c r="B2824" s="4" t="s">
        <v>39</v>
      </c>
      <c r="C2824" s="3" t="str">
        <f>"TFC000001868"</f>
        <v>TFC000001868</v>
      </c>
      <c r="D2824" s="3" t="str">
        <f>"F800-20-2069-(AR 3.8)"</f>
        <v>F800-20-2069-(AR 3.8)</v>
      </c>
      <c r="E2824" s="3" t="str">
        <f>"(The)day the crayons quit"</f>
        <v>(The)day the crayons quit</v>
      </c>
      <c r="F2824" s="3" t="str">
        <f>"by Drew Daywalt ; illustrated by Oliver Jeffers"</f>
        <v>by Drew Daywalt ; illustrated by Oliver Jeffers</v>
      </c>
      <c r="G2824" s="3" t="str">
        <f>"Philomel Books"</f>
        <v>Philomel Books</v>
      </c>
      <c r="H2824" s="2" t="str">
        <f>"2013"</f>
        <v>2013</v>
      </c>
      <c r="I2824" s="3" t="str">
        <f>""</f>
        <v/>
      </c>
    </row>
    <row r="2825" spans="1:9" x14ac:dyDescent="0.3">
      <c r="A2825" s="2">
        <v>2824</v>
      </c>
      <c r="B2825" s="4" t="s">
        <v>39</v>
      </c>
      <c r="C2825" s="3" t="str">
        <f>"TFC000001876"</f>
        <v>TFC000001876</v>
      </c>
      <c r="D2825" s="3" t="str">
        <f>"F800-20-2077-(AR 3.8)"</f>
        <v>F800-20-2077-(AR 3.8)</v>
      </c>
      <c r="E2825" s="3" t="str">
        <f>"(The)girl with 500 middle names"</f>
        <v>(The)girl with 500 middle names</v>
      </c>
      <c r="F2825" s="3" t="str">
        <f>"Margaret Peterson Haddix ; illustrated by Janet Hamlin"</f>
        <v>Margaret Peterson Haddix ; illustrated by Janet Hamlin</v>
      </c>
      <c r="G2825" s="3" t="str">
        <f>"Simon &amp; Schuster Books for Young Readers"</f>
        <v>Simon &amp; Schuster Books for Young Readers</v>
      </c>
      <c r="H2825" s="2" t="str">
        <f>"2014"</f>
        <v>2014</v>
      </c>
      <c r="I2825" s="3" t="str">
        <f>""</f>
        <v/>
      </c>
    </row>
    <row r="2826" spans="1:9" x14ac:dyDescent="0.3">
      <c r="A2826" s="2">
        <v>2825</v>
      </c>
      <c r="B2826" s="4" t="s">
        <v>39</v>
      </c>
      <c r="C2826" s="3" t="str">
        <f>"TFC000001877"</f>
        <v>TFC000001877</v>
      </c>
      <c r="D2826" s="3" t="str">
        <f>"F800-20-2078-(AR 3.8)"</f>
        <v>F800-20-2078-(AR 3.8)</v>
      </c>
      <c r="E2826" s="3" t="str">
        <f>"Boundless Grace"</f>
        <v>Boundless Grace</v>
      </c>
      <c r="F2826" s="3" t="str">
        <f>"by Mary Hoffman ; pictures by Caroline Binch"</f>
        <v>by Mary Hoffman ; pictures by Caroline Binch</v>
      </c>
      <c r="G2826" s="3" t="str">
        <f>"Puffin Books"</f>
        <v>Puffin Books</v>
      </c>
      <c r="H2826" s="2" t="str">
        <f>"1995"</f>
        <v>1995</v>
      </c>
      <c r="I2826" s="3" t="str">
        <f>""</f>
        <v/>
      </c>
    </row>
    <row r="2827" spans="1:9" x14ac:dyDescent="0.3">
      <c r="A2827" s="2">
        <v>2826</v>
      </c>
      <c r="B2827" s="4" t="s">
        <v>39</v>
      </c>
      <c r="C2827" s="3" t="str">
        <f>"TFC000001878"</f>
        <v>TFC000001878</v>
      </c>
      <c r="D2827" s="3" t="str">
        <f>"F800-20-2079-(AR 3.8)"</f>
        <v>F800-20-2079-(AR 3.8)</v>
      </c>
      <c r="E2827" s="3" t="str">
        <f>"Beyond to door"</f>
        <v>Beyond to door</v>
      </c>
      <c r="F2827" s="3" t="str">
        <f>"written by Roderick Hunt ; illustrated by Alex Brychta"</f>
        <v>written by Roderick Hunt ; illustrated by Alex Brychta</v>
      </c>
      <c r="G2827" s="3" t="str">
        <f>"Oxford University Press"</f>
        <v>Oxford University Press</v>
      </c>
      <c r="H2827" s="2" t="str">
        <f>"2014"</f>
        <v>2014</v>
      </c>
      <c r="I2827" s="3" t="str">
        <f>""</f>
        <v/>
      </c>
    </row>
    <row r="2828" spans="1:9" x14ac:dyDescent="0.3">
      <c r="A2828" s="2">
        <v>2827</v>
      </c>
      <c r="B2828" s="4" t="s">
        <v>39</v>
      </c>
      <c r="C2828" s="3" t="str">
        <f>"TFC000001879"</f>
        <v>TFC000001879</v>
      </c>
      <c r="D2828" s="3" t="str">
        <f>"F800-20-2080-(AR 3.8)"</f>
        <v>F800-20-2080-(AR 3.8)</v>
      </c>
      <c r="E2828" s="3" t="str">
        <f>"Caterpillar summer"</f>
        <v>Caterpillar summer</v>
      </c>
      <c r="F2828" s="3" t="str">
        <f>"Gillian McDunn"</f>
        <v>Gillian McDunn</v>
      </c>
      <c r="G2828" s="3" t="str">
        <f>"Bloomsbury Children's Books"</f>
        <v>Bloomsbury Children's Books</v>
      </c>
      <c r="H2828" s="2" t="str">
        <f>"2019"</f>
        <v>2019</v>
      </c>
      <c r="I2828" s="3" t="str">
        <f>""</f>
        <v/>
      </c>
    </row>
    <row r="2829" spans="1:9" x14ac:dyDescent="0.3">
      <c r="A2829" s="2">
        <v>2828</v>
      </c>
      <c r="B2829" s="4" t="s">
        <v>39</v>
      </c>
      <c r="C2829" s="3" t="str">
        <f>"TFC000001880"</f>
        <v>TFC000001880</v>
      </c>
      <c r="D2829" s="3" t="str">
        <f>"F800-20-2081-(AR 3.8)"</f>
        <v>F800-20-2081-(AR 3.8)</v>
      </c>
      <c r="E2829" s="3" t="str">
        <f>"Amelia's guide to babysitting"</f>
        <v>Amelia's guide to babysitting</v>
      </c>
      <c r="F2829" s="3" t="str">
        <f>"by Marissa Moss"</f>
        <v>by Marissa Moss</v>
      </c>
      <c r="G2829" s="3" t="str">
        <f>"Simon &amp; Schuster Books for Young Readers"</f>
        <v>Simon &amp; Schuster Books for Young Readers</v>
      </c>
      <c r="H2829" s="2" t="str">
        <f>"2008"</f>
        <v>2008</v>
      </c>
      <c r="I2829" s="3" t="str">
        <f>""</f>
        <v/>
      </c>
    </row>
    <row r="2830" spans="1:9" x14ac:dyDescent="0.3">
      <c r="A2830" s="2">
        <v>2829</v>
      </c>
      <c r="B2830" s="4" t="s">
        <v>39</v>
      </c>
      <c r="C2830" s="3" t="str">
        <f>"TFC000001885"</f>
        <v>TFC000001885</v>
      </c>
      <c r="D2830" s="3" t="str">
        <f>"F800-20-2086-(AR 3.8)"</f>
        <v>F800-20-2086-(AR 3.8)</v>
      </c>
      <c r="E2830" s="3" t="str">
        <f>"Geek Chic : the Zoey zone"</f>
        <v>Geek Chic : the Zoey zone</v>
      </c>
      <c r="F2830" s="3" t="str">
        <f>"Margie Palatini"</f>
        <v>Margie Palatini</v>
      </c>
      <c r="G2830" s="3" t="str">
        <f>"Katherine Tegen Books"</f>
        <v>Katherine Tegen Books</v>
      </c>
      <c r="H2830" s="2" t="str">
        <f>"2008"</f>
        <v>2008</v>
      </c>
      <c r="I2830" s="3" t="str">
        <f>""</f>
        <v/>
      </c>
    </row>
    <row r="2831" spans="1:9" x14ac:dyDescent="0.3">
      <c r="A2831" s="2">
        <v>2830</v>
      </c>
      <c r="B2831" s="4" t="s">
        <v>39</v>
      </c>
      <c r="C2831" s="3" t="str">
        <f>"TFC000001886"</f>
        <v>TFC000001886</v>
      </c>
      <c r="D2831" s="3" t="str">
        <f>"F800-20-2087-(AR 3.8)"</f>
        <v>F800-20-2087-(AR 3.8)</v>
      </c>
      <c r="E2831" s="3" t="str">
        <f>"Marty Pants. 1, do not open!"</f>
        <v>Marty Pants. 1, do not open!</v>
      </c>
      <c r="F2831" s="3" t="str">
        <f>"Mark Parisi"</f>
        <v>Mark Parisi</v>
      </c>
      <c r="G2831" s="3" t="str">
        <f>"Harper"</f>
        <v>Harper</v>
      </c>
      <c r="H2831" s="2" t="str">
        <f>"2017"</f>
        <v>2017</v>
      </c>
      <c r="I2831" s="3" t="str">
        <f>""</f>
        <v/>
      </c>
    </row>
    <row r="2832" spans="1:9" x14ac:dyDescent="0.3">
      <c r="A2832" s="2">
        <v>2831</v>
      </c>
      <c r="B2832" s="4" t="s">
        <v>39</v>
      </c>
      <c r="C2832" s="3" t="str">
        <f>"TFC000001887"</f>
        <v>TFC000001887</v>
      </c>
      <c r="D2832" s="3" t="str">
        <f>"F800-20-2088-(AR 3.8)"</f>
        <v>F800-20-2088-(AR 3.8)</v>
      </c>
      <c r="E2832" s="3" t="str">
        <f>"Kai to the rescue!"</f>
        <v>Kai to the rescue!</v>
      </c>
      <c r="F2832" s="3" t="str">
        <f>"by Audrey Penn ; illustrated by Mike Yamada"</f>
        <v>by Audrey Penn ; illustrated by Mike Yamada</v>
      </c>
      <c r="G2832" s="3" t="str">
        <f>"Orchard Books"</f>
        <v>Orchard Books</v>
      </c>
      <c r="H2832" s="2" t="str">
        <f>"2016"</f>
        <v>2016</v>
      </c>
      <c r="I2832" s="3" t="str">
        <f>""</f>
        <v/>
      </c>
    </row>
    <row r="2833" spans="1:9" x14ac:dyDescent="0.3">
      <c r="A2833" s="2">
        <v>2832</v>
      </c>
      <c r="B2833" s="4" t="s">
        <v>39</v>
      </c>
      <c r="C2833" s="3" t="str">
        <f>"TFC000001888"</f>
        <v>TFC000001888</v>
      </c>
      <c r="D2833" s="3" t="str">
        <f>"F800-20-2089-(AR 3.8)"</f>
        <v>F800-20-2089-(AR 3.8)</v>
      </c>
      <c r="E2833" s="3" t="str">
        <f>"Ricky Ricotta's mighty robot vs the voodoo vultures from venus"</f>
        <v>Ricky Ricotta's mighty robot vs the voodoo vultures from venus</v>
      </c>
      <c r="F2833" s="3" t="str">
        <f>"story by Dav Pilkey ; art by Dan Santat"</f>
        <v>story by Dav Pilkey ; art by Dan Santat</v>
      </c>
      <c r="G2833" s="3" t="str">
        <f>"Scholastic"</f>
        <v>Scholastic</v>
      </c>
      <c r="H2833" s="2" t="str">
        <f>"2001"</f>
        <v>2001</v>
      </c>
      <c r="I2833" s="3" t="str">
        <f>""</f>
        <v/>
      </c>
    </row>
    <row r="2834" spans="1:9" x14ac:dyDescent="0.3">
      <c r="A2834" s="2">
        <v>2833</v>
      </c>
      <c r="B2834" s="4" t="s">
        <v>39</v>
      </c>
      <c r="C2834" s="3" t="str">
        <f>"TFC000001892"</f>
        <v>TFC000001892</v>
      </c>
      <c r="D2834" s="3" t="str">
        <f>"F800-20-2092-(AR 3.8)"</f>
        <v>F800-20-2092-(AR 3.8)</v>
      </c>
      <c r="E2834" s="3" t="str">
        <f>"(Stories of)pirates"</f>
        <v>(Stories of)pirates</v>
      </c>
      <c r="F2834" s="3" t="str">
        <f>"Russell Punter ; illustrated by Christyan Fox"</f>
        <v>Russell Punter ; illustrated by Christyan Fox</v>
      </c>
      <c r="G2834" s="3" t="str">
        <f>"Usborne"</f>
        <v>Usborne</v>
      </c>
      <c r="H2834" s="2" t="str">
        <f>"2007"</f>
        <v>2007</v>
      </c>
      <c r="I2834" s="3" t="str">
        <f>""</f>
        <v/>
      </c>
    </row>
    <row r="2835" spans="1:9" x14ac:dyDescent="0.3">
      <c r="A2835" s="2">
        <v>2834</v>
      </c>
      <c r="B2835" s="4" t="s">
        <v>39</v>
      </c>
      <c r="C2835" s="3" t="str">
        <f>"TFC000001899"</f>
        <v>TFC000001899</v>
      </c>
      <c r="D2835" s="3" t="str">
        <f>"F800-20-2098-(AR 3.8)"</f>
        <v>F800-20-2098-(AR 3.8)</v>
      </c>
      <c r="E2835" s="3" t="str">
        <f>"(The)time warp trio. 3, the good, the bad, and the goofy"</f>
        <v>(The)time warp trio. 3, the good, the bad, and the goofy</v>
      </c>
      <c r="F2835" s="3" t="str">
        <f>"by Jon Scieszka ; illustrated by Lane Smith"</f>
        <v>by Jon Scieszka ; illustrated by Lane Smith</v>
      </c>
      <c r="G2835" s="3" t="str">
        <f>"Puffin Books"</f>
        <v>Puffin Books</v>
      </c>
      <c r="H2835" s="2" t="str">
        <f>"2006"</f>
        <v>2006</v>
      </c>
      <c r="I2835" s="3" t="str">
        <f>""</f>
        <v/>
      </c>
    </row>
    <row r="2836" spans="1:9" x14ac:dyDescent="0.3">
      <c r="A2836" s="2">
        <v>2835</v>
      </c>
      <c r="B2836" s="4" t="s">
        <v>39</v>
      </c>
      <c r="C2836" s="3" t="str">
        <f>"TFC000001901"</f>
        <v>TFC000001901</v>
      </c>
      <c r="D2836" s="3" t="str">
        <f>"F800-20-2100-(AR 3.8)"</f>
        <v>F800-20-2100-(AR 3.8)</v>
      </c>
      <c r="E2836" s="3" t="str">
        <f>"(A)bad case of stripes"</f>
        <v>(A)bad case of stripes</v>
      </c>
      <c r="F2836" s="3" t="str">
        <f>"by David Shannon"</f>
        <v>by David Shannon</v>
      </c>
      <c r="G2836" s="3" t="str">
        <f>"Scholastic"</f>
        <v>Scholastic</v>
      </c>
      <c r="H2836" s="2" t="str">
        <f>"2004"</f>
        <v>2004</v>
      </c>
      <c r="I2836" s="3" t="str">
        <f>""</f>
        <v/>
      </c>
    </row>
    <row r="2837" spans="1:9" x14ac:dyDescent="0.3">
      <c r="A2837" s="2">
        <v>2836</v>
      </c>
      <c r="B2837" s="4" t="s">
        <v>39</v>
      </c>
      <c r="C2837" s="3" t="str">
        <f>"TFC000001902"</f>
        <v>TFC000001902</v>
      </c>
      <c r="D2837" s="3" t="str">
        <f>"F800-20-2101-(AR 3.8)"</f>
        <v>F800-20-2101-(AR 3.8)</v>
      </c>
      <c r="E2837" s="3" t="str">
        <f>"Counting crocodiles"</f>
        <v>Counting crocodiles</v>
      </c>
      <c r="F2837" s="3" t="str">
        <f>"by Judy Sierra ; illustrated by Will. Hillenbrand"</f>
        <v>by Judy Sierra ; illustrated by Will. Hillenbrand</v>
      </c>
      <c r="G2837" s="3" t="str">
        <f>"Harcourt:JYbooks"</f>
        <v>Harcourt:JYbooks</v>
      </c>
      <c r="H2837" s="2" t="str">
        <f>"2001"</f>
        <v>2001</v>
      </c>
      <c r="I2837" s="3" t="str">
        <f>""</f>
        <v/>
      </c>
    </row>
    <row r="2838" spans="1:9" x14ac:dyDescent="0.3">
      <c r="A2838" s="2">
        <v>2837</v>
      </c>
      <c r="B2838" s="4" t="s">
        <v>39</v>
      </c>
      <c r="C2838" s="3" t="str">
        <f>"TFC000001903"</f>
        <v>TFC000001903</v>
      </c>
      <c r="D2838" s="3" t="str">
        <f>"F800-20-2102-(AR 3.8)"</f>
        <v>F800-20-2102-(AR 3.8)</v>
      </c>
      <c r="E2838" s="3" t="str">
        <f>"Three bears in a boat"</f>
        <v>Three bears in a boat</v>
      </c>
      <c r="F2838" s="3" t="str">
        <f>"by David Soman"</f>
        <v>by David Soman</v>
      </c>
      <c r="G2838" s="3" t="str">
        <f>"Dial Books for Young Readers"</f>
        <v>Dial Books for Young Readers</v>
      </c>
      <c r="H2838" s="2" t="str">
        <f>"2014"</f>
        <v>2014</v>
      </c>
      <c r="I2838" s="3" t="str">
        <f>""</f>
        <v/>
      </c>
    </row>
    <row r="2839" spans="1:9" x14ac:dyDescent="0.3">
      <c r="A2839" s="2">
        <v>2838</v>
      </c>
      <c r="B2839" s="4" t="s">
        <v>39</v>
      </c>
      <c r="C2839" s="3" t="str">
        <f>"TFC000001904"</f>
        <v>TFC000001904</v>
      </c>
      <c r="D2839" s="3" t="str">
        <f>"F800-20-2103-(AR 3.8)"</f>
        <v>F800-20-2103-(AR 3.8)</v>
      </c>
      <c r="E2839" s="3" t="str">
        <f>"Liar &amp; spy"</f>
        <v>Liar &amp; spy</v>
      </c>
      <c r="F2839" s="3" t="str">
        <f>"Rebecca Stead"</f>
        <v>Rebecca Stead</v>
      </c>
      <c r="G2839" s="3" t="str">
        <f>"Yearling Books"</f>
        <v>Yearling Books</v>
      </c>
      <c r="H2839" s="2" t="str">
        <f>"2013"</f>
        <v>2013</v>
      </c>
      <c r="I2839" s="3" t="str">
        <f>""</f>
        <v/>
      </c>
    </row>
    <row r="2840" spans="1:9" x14ac:dyDescent="0.3">
      <c r="A2840" s="2">
        <v>2839</v>
      </c>
      <c r="B2840" s="4" t="s">
        <v>39</v>
      </c>
      <c r="C2840" s="3" t="str">
        <f>"TFC000001905"</f>
        <v>TFC000001905</v>
      </c>
      <c r="D2840" s="3" t="str">
        <f>"F800-20-2104-(AR 3.8)"</f>
        <v>F800-20-2104-(AR 3.8)</v>
      </c>
      <c r="E2840" s="3" t="str">
        <f>"Two cats to the rescue"</f>
        <v>Two cats to the rescue</v>
      </c>
      <c r="F2840" s="3" t="str">
        <f>"by Tom Watson ; illustrated by Ethan Long"</f>
        <v>by Tom Watson ; illustrated by Ethan Long</v>
      </c>
      <c r="G2840" s="3" t="str">
        <f>"Harper"</f>
        <v>Harper</v>
      </c>
      <c r="H2840" s="2" t="str">
        <f>"2019"</f>
        <v>2019</v>
      </c>
      <c r="I2840" s="3" t="str">
        <f>""</f>
        <v/>
      </c>
    </row>
    <row r="2841" spans="1:9" x14ac:dyDescent="0.3">
      <c r="A2841" s="2">
        <v>2840</v>
      </c>
      <c r="B2841" s="4" t="s">
        <v>39</v>
      </c>
      <c r="C2841" s="3" t="str">
        <f>"TFC000001906"</f>
        <v>TFC000001906</v>
      </c>
      <c r="D2841" s="3" t="str">
        <f>"F800-20-2105-(AR 3.8)"</f>
        <v>F800-20-2105-(AR 3.8)</v>
      </c>
      <c r="E2841" s="3" t="str">
        <f>"Dragon masters. 11, shine of the silver dragon"</f>
        <v>Dragon masters. 11, shine of the silver dragon</v>
      </c>
      <c r="F2841" s="3" t="str">
        <f>"by Tracey West ; illustrated by Nina De Polonia"</f>
        <v>by Tracey West ; illustrated by Nina De Polonia</v>
      </c>
      <c r="G2841" s="3" t="str">
        <f>"Scholastic"</f>
        <v>Scholastic</v>
      </c>
      <c r="H2841" s="2" t="str">
        <f>"2018"</f>
        <v>2018</v>
      </c>
      <c r="I2841" s="3" t="str">
        <f>""</f>
        <v/>
      </c>
    </row>
    <row r="2842" spans="1:9" x14ac:dyDescent="0.3">
      <c r="A2842" s="2">
        <v>2841</v>
      </c>
      <c r="B2842" s="4" t="s">
        <v>39</v>
      </c>
      <c r="C2842" s="3" t="str">
        <f>"TFC000001907"</f>
        <v>TFC000001907</v>
      </c>
      <c r="D2842" s="3" t="str">
        <f>"F800-20-2106-(AR 3.8)"</f>
        <v>F800-20-2106-(AR 3.8)</v>
      </c>
      <c r="E2842" s="3" t="str">
        <f>"(The)snow queen"</f>
        <v>(The)snow queen</v>
      </c>
      <c r="F2842" s="3" t="str">
        <f>"Han Christian Andersen ; retold by Lesley Sims ; illustrated by Alan Marks"</f>
        <v>Han Christian Andersen ; retold by Lesley Sims ; illustrated by Alan Marks</v>
      </c>
      <c r="G2842" s="3" t="str">
        <f>"Usborne"</f>
        <v>Usborne</v>
      </c>
      <c r="H2842" s="2" t="str">
        <f>"2004"</f>
        <v>2004</v>
      </c>
      <c r="I2842" s="3" t="str">
        <f>""</f>
        <v/>
      </c>
    </row>
    <row r="2843" spans="1:9" x14ac:dyDescent="0.3">
      <c r="A2843" s="2">
        <v>2842</v>
      </c>
      <c r="B2843" s="4" t="s">
        <v>39</v>
      </c>
      <c r="C2843" s="3" t="str">
        <f>"TFC000001908"</f>
        <v>TFC000001908</v>
      </c>
      <c r="D2843" s="3" t="str">
        <f>"F800-20-2107-(AR 3.8)"</f>
        <v>F800-20-2107-(AR 3.8)</v>
      </c>
      <c r="E2843" s="3" t="str">
        <f>"Attack of the bandit cats"</f>
        <v>Attack of the bandit cats</v>
      </c>
      <c r="F2843" s="3" t="str">
        <f>"by Geronimo Stilton ; illustrated by Matt Wolf"</f>
        <v>by Geronimo Stilton ; illustrated by Matt Wolf</v>
      </c>
      <c r="G2843" s="3" t="str">
        <f>"Scholastic"</f>
        <v>Scholastic</v>
      </c>
      <c r="H2843" s="2" t="str">
        <f>"2004"</f>
        <v>2004</v>
      </c>
      <c r="I2843" s="3" t="str">
        <f>""</f>
        <v/>
      </c>
    </row>
    <row r="2844" spans="1:9" x14ac:dyDescent="0.3">
      <c r="A2844" s="2">
        <v>2843</v>
      </c>
      <c r="B2844" s="4" t="s">
        <v>39</v>
      </c>
      <c r="C2844" s="3" t="str">
        <f>"TFC000001910"</f>
        <v>TFC000001910</v>
      </c>
      <c r="D2844" s="3" t="str">
        <f>"F800-20-2109-(AR 3.8)"</f>
        <v>F800-20-2109-(AR 3.8)</v>
      </c>
      <c r="E2844" s="3" t="str">
        <f>"Geronimo's Valentine"</f>
        <v>Geronimo's Valentine</v>
      </c>
      <c r="F2844" s="3" t="str">
        <f>"Geronimo Stilton ; illustrated by Giuseppe Ferrario"</f>
        <v>Geronimo Stilton ; illustrated by Giuseppe Ferrario</v>
      </c>
      <c r="G2844" s="3" t="str">
        <f>"Scholastic"</f>
        <v>Scholastic</v>
      </c>
      <c r="H2844" s="2" t="str">
        <f>"2009"</f>
        <v>2009</v>
      </c>
      <c r="I2844" s="3" t="str">
        <f>""</f>
        <v/>
      </c>
    </row>
    <row r="2845" spans="1:9" x14ac:dyDescent="0.3">
      <c r="A2845" s="2">
        <v>2844</v>
      </c>
      <c r="B2845" s="4" t="s">
        <v>39</v>
      </c>
      <c r="C2845" s="3" t="str">
        <f>"TFC000001911"</f>
        <v>TFC000001911</v>
      </c>
      <c r="D2845" s="3" t="str">
        <f>"F800-20-2110-(AR 3.8)"</f>
        <v>F800-20-2110-(AR 3.8)</v>
      </c>
      <c r="E2845" s="3" t="str">
        <f>"I'm not a supermouse!"</f>
        <v>I'm not a supermouse!</v>
      </c>
      <c r="F2845" s="3" t="str">
        <f>"by Geronimo Stilton ; illustrations by Elena Tomasutti, Christian Aliprandi"</f>
        <v>by Geronimo Stilton ; illustrations by Elena Tomasutti, Christian Aliprandi</v>
      </c>
      <c r="G2845" s="3" t="str">
        <f>"Scholastic"</f>
        <v>Scholastic</v>
      </c>
      <c r="H2845" s="2" t="str">
        <f>"2010"</f>
        <v>2010</v>
      </c>
      <c r="I2845" s="3" t="str">
        <f>""</f>
        <v/>
      </c>
    </row>
    <row r="2846" spans="1:9" x14ac:dyDescent="0.3">
      <c r="A2846" s="2">
        <v>2845</v>
      </c>
      <c r="B2846" s="4" t="s">
        <v>39</v>
      </c>
      <c r="C2846" s="3" t="str">
        <f>"TFC000001912"</f>
        <v>TFC000001912</v>
      </c>
      <c r="D2846" s="3" t="str">
        <f>"F800-20-2111-(AR 3.8)"</f>
        <v>F800-20-2111-(AR 3.8)</v>
      </c>
      <c r="E2846" s="3" t="str">
        <f>"(The)mouse island marathon"</f>
        <v>(The)mouse island marathon</v>
      </c>
      <c r="F2846" s="3" t="str">
        <f>"Geronimo Stilton ; illustrated by Valeria Turati"</f>
        <v>Geronimo Stilton ; illustrated by Valeria Turati</v>
      </c>
      <c r="G2846" s="3" t="str">
        <f>"Scholastic"</f>
        <v>Scholastic</v>
      </c>
      <c r="H2846" s="2" t="str">
        <f>"2016"</f>
        <v>2016</v>
      </c>
      <c r="I2846" s="3" t="str">
        <f>""</f>
        <v/>
      </c>
    </row>
    <row r="2847" spans="1:9" x14ac:dyDescent="0.3">
      <c r="A2847" s="2">
        <v>2846</v>
      </c>
      <c r="B2847" s="4" t="s">
        <v>39</v>
      </c>
      <c r="C2847" s="3" t="str">
        <f>"TFC000001913"</f>
        <v>TFC000001913</v>
      </c>
      <c r="D2847" s="3" t="str">
        <f>"F800-20-2112-(AR 3.8)"</f>
        <v>F800-20-2112-(AR 3.8)</v>
      </c>
      <c r="E2847" s="3" t="str">
        <f>"(The)mysterious cheese thief"</f>
        <v>(The)mysterious cheese thief</v>
      </c>
      <c r="F2847" s="3" t="str">
        <f>"by Geronimo Stilton ; illustrations by Silvia Bigolin [et al.]"</f>
        <v>by Geronimo Stilton ; illustrations by Silvia Bigolin [et al.]</v>
      </c>
      <c r="G2847" s="3" t="str">
        <f>"Scholastic"</f>
        <v>Scholastic</v>
      </c>
      <c r="H2847" s="2" t="str">
        <f>"2007"</f>
        <v>2007</v>
      </c>
      <c r="I2847" s="3" t="str">
        <f>""</f>
        <v/>
      </c>
    </row>
    <row r="2848" spans="1:9" x14ac:dyDescent="0.3">
      <c r="A2848" s="2">
        <v>2847</v>
      </c>
      <c r="B2848" s="4" t="s">
        <v>39</v>
      </c>
      <c r="C2848" s="3" t="str">
        <f>"TFC000001914"</f>
        <v>TFC000001914</v>
      </c>
      <c r="D2848" s="3" t="str">
        <f>"F800-20-2113-(AR 3.8)"</f>
        <v>F800-20-2113-(AR 3.8)</v>
      </c>
      <c r="E2848" s="3" t="str">
        <f>"Singing sensation"</f>
        <v>Singing sensation</v>
      </c>
      <c r="F2848" s="3" t="str">
        <f>"Geronimo Stilton ; illustrations by Larry Keys Chiavini [et al]"</f>
        <v>Geronimo Stilton ; illustrations by Larry Keys Chiavini [et al]</v>
      </c>
      <c r="G2848" s="3" t="str">
        <f>"Scholastic"</f>
        <v>Scholastic</v>
      </c>
      <c r="H2848" s="2" t="str">
        <f>"2009"</f>
        <v>2009</v>
      </c>
      <c r="I2848" s="3" t="str">
        <f>""</f>
        <v/>
      </c>
    </row>
    <row r="2849" spans="1:9" x14ac:dyDescent="0.3">
      <c r="A2849" s="2">
        <v>2848</v>
      </c>
      <c r="B2849" s="4" t="s">
        <v>39</v>
      </c>
      <c r="C2849" s="3" t="str">
        <f>"TFC000001915"</f>
        <v>TFC000001915</v>
      </c>
      <c r="D2849" s="3" t="str">
        <f>"F800-20-2114-(AR 3.8)"</f>
        <v>F800-20-2114-(AR 3.8)</v>
      </c>
      <c r="E2849" s="3" t="str">
        <f>"Wedding crasher"</f>
        <v>Wedding crasher</v>
      </c>
      <c r="F2849" s="3" t="str">
        <f>"by Geronimo Stilton ; illustrations by by Roberto Ronchi, Christian Aliprandi, Davide Turotti"</f>
        <v>by Geronimo Stilton ; illustrations by by Roberto Ronchi, Christian Aliprandi, Davide Turotti</v>
      </c>
      <c r="G2849" s="3" t="str">
        <f>"Scholastic"</f>
        <v>Scholastic</v>
      </c>
      <c r="H2849" s="2" t="str">
        <f>"2007"</f>
        <v>2007</v>
      </c>
      <c r="I2849" s="3" t="str">
        <f>""</f>
        <v/>
      </c>
    </row>
    <row r="2850" spans="1:9" x14ac:dyDescent="0.3">
      <c r="A2850" s="2">
        <v>2849</v>
      </c>
      <c r="B2850" s="4" t="s">
        <v>39</v>
      </c>
      <c r="C2850" s="3" t="str">
        <f>"TFC000001916"</f>
        <v>TFC000001916</v>
      </c>
      <c r="D2850" s="3" t="str">
        <f>"F900-20-2121-(AR 3.8)"</f>
        <v>F900-20-2121-(AR 3.8)</v>
      </c>
      <c r="E2850" s="3" t="str">
        <f>"Frida Kahlo"</f>
        <v>Frida Kahlo</v>
      </c>
      <c r="F2850" s="3" t="str">
        <f>"written by Mª Isabel Sanchez Vegara ; illustrated by Gee Fan Eng ; translated by Emma Martinez"</f>
        <v>written by Mª Isabel Sanchez Vegara ; illustrated by Gee Fan Eng ; translated by Emma Martinez</v>
      </c>
      <c r="G2850" s="3" t="str">
        <f>"Frances Lincoln Children's Books"</f>
        <v>Frances Lincoln Children's Books</v>
      </c>
      <c r="H2850" s="2" t="str">
        <f>"2018"</f>
        <v>2018</v>
      </c>
      <c r="I2850" s="3" t="str">
        <f>""</f>
        <v/>
      </c>
    </row>
    <row r="2851" spans="1:9" x14ac:dyDescent="0.3">
      <c r="A2851" s="2">
        <v>2850</v>
      </c>
      <c r="B2851" s="4" t="s">
        <v>39</v>
      </c>
      <c r="C2851" s="3" t="str">
        <f>"TFC000002892"</f>
        <v>TFC000002892</v>
      </c>
      <c r="D2851" s="3" t="str">
        <f>"F400-20-2049-(AR 3.8)"</f>
        <v>F400-20-2049-(AR 3.8)</v>
      </c>
      <c r="E2851" s="3" t="str">
        <f>"(The)magic school bus and the science fair expedition"</f>
        <v>(The)magic school bus and the science fair expedition</v>
      </c>
      <c r="F2851" s="3" t="str">
        <f>"by Joanna Cole ; illustrated by Bruce Degen"</f>
        <v>by Joanna Cole ; illustrated by Bruce Degen</v>
      </c>
      <c r="G2851" s="3" t="str">
        <f>"Scholastic"</f>
        <v>Scholastic</v>
      </c>
      <c r="H2851" s="2" t="str">
        <f>"2008"</f>
        <v>2008</v>
      </c>
      <c r="I2851" s="3" t="str">
        <f>""</f>
        <v/>
      </c>
    </row>
    <row r="2852" spans="1:9" x14ac:dyDescent="0.3">
      <c r="A2852" s="2">
        <v>2851</v>
      </c>
      <c r="B2852" s="4" t="s">
        <v>39</v>
      </c>
      <c r="C2852" s="3" t="str">
        <f>"TFC000002893"</f>
        <v>TFC000002893</v>
      </c>
      <c r="D2852" s="3" t="str">
        <f>"F800-20-2116-(AR 3.8)"</f>
        <v>F800-20-2116-(AR 3.8)</v>
      </c>
      <c r="E2852" s="3" t="str">
        <f>"Squids will be squids : fresh morals, beastly fables"</f>
        <v>Squids will be squids : fresh morals, beastly fables</v>
      </c>
      <c r="F2852" s="3" t="str">
        <f>"by Jon Scieszka, Lane Smith ; designed by Molly Leach"</f>
        <v>by Jon Scieszka, Lane Smith ; designed by Molly Leach</v>
      </c>
      <c r="G2852" s="3" t="str">
        <f>"Puffin books"</f>
        <v>Puffin books</v>
      </c>
      <c r="H2852" s="2" t="str">
        <f>"2003"</f>
        <v>2003</v>
      </c>
      <c r="I2852" s="3" t="str">
        <f>""</f>
        <v/>
      </c>
    </row>
    <row r="2853" spans="1:9" x14ac:dyDescent="0.3">
      <c r="A2853" s="2">
        <v>2852</v>
      </c>
      <c r="B2853" s="4" t="s">
        <v>39</v>
      </c>
      <c r="C2853" s="3" t="str">
        <f>"TFC000003013"</f>
        <v>TFC000003013</v>
      </c>
      <c r="D2853" s="3" t="str">
        <f>"F800-20-2117-(AR 3.8)"</f>
        <v>F800-20-2117-(AR 3.8)</v>
      </c>
      <c r="E2853" s="3" t="str">
        <f>"Arrivederci, crocodile or See you later alligator"</f>
        <v>Arrivederci, crocodile or See you later alligator</v>
      </c>
      <c r="F2853" s="3" t="str">
        <f>"begun by Fred Marcellino ; completed by Eric Puybaret"</f>
        <v>begun by Fred Marcellino ; completed by Eric Puybaret</v>
      </c>
      <c r="G2853" s="3" t="str">
        <f>"Atheneum Books for Young Readers"</f>
        <v>Atheneum Books for Young Readers</v>
      </c>
      <c r="H2853" s="2" t="str">
        <f>"2019"</f>
        <v>2019</v>
      </c>
      <c r="I2853" s="3" t="str">
        <f>""</f>
        <v/>
      </c>
    </row>
    <row r="2854" spans="1:9" x14ac:dyDescent="0.3">
      <c r="A2854" s="2">
        <v>2853</v>
      </c>
      <c r="B2854" s="4" t="s">
        <v>39</v>
      </c>
      <c r="C2854" s="3" t="str">
        <f>"TFC000003021"</f>
        <v>TFC000003021</v>
      </c>
      <c r="D2854" s="3" t="str">
        <f>"F800-20-2118-(AR 3.8)"</f>
        <v>F800-20-2118-(AR 3.8)</v>
      </c>
      <c r="E2854" s="3" t="str">
        <f>"Mia Mayhem breaks down walls"</f>
        <v>Mia Mayhem breaks down walls</v>
      </c>
      <c r="F2854" s="3" t="str">
        <f>"by Kara West ; illustrated by Leeza Hernandez"</f>
        <v>by Kara West ; illustrated by Leeza Hernandez</v>
      </c>
      <c r="G2854" s="3" t="str">
        <f>"Little Simon"</f>
        <v>Little Simon</v>
      </c>
      <c r="H2854" s="2" t="str">
        <f>"2019"</f>
        <v>2019</v>
      </c>
      <c r="I2854" s="3" t="str">
        <f>""</f>
        <v/>
      </c>
    </row>
    <row r="2855" spans="1:9" x14ac:dyDescent="0.3">
      <c r="A2855" s="2">
        <v>2854</v>
      </c>
      <c r="B2855" s="4" t="s">
        <v>39</v>
      </c>
      <c r="C2855" s="3" t="str">
        <f>"TFC000003060"</f>
        <v>TFC000003060</v>
      </c>
      <c r="D2855" s="3" t="str">
        <f>"F800-20-2119-(AR 3.8)"</f>
        <v>F800-20-2119-(AR 3.8)</v>
      </c>
      <c r="E2855" s="3" t="str">
        <f>"(The)San Francisco earthquake, 1906"</f>
        <v>(The)San Francisco earthquake, 1906</v>
      </c>
      <c r="F2855" s="3" t="str">
        <f>"by Lauren Tarshis ; illustrated by Scott Dawson"</f>
        <v>by Lauren Tarshis ; illustrated by Scott Dawson</v>
      </c>
      <c r="G2855" s="3" t="str">
        <f>"Scholastic"</f>
        <v>Scholastic</v>
      </c>
      <c r="H2855" s="2" t="str">
        <f>"2012"</f>
        <v>2012</v>
      </c>
      <c r="I2855" s="3" t="str">
        <f>""</f>
        <v/>
      </c>
    </row>
    <row r="2856" spans="1:9" x14ac:dyDescent="0.3">
      <c r="A2856" s="2">
        <v>2855</v>
      </c>
      <c r="B2856" s="4" t="s">
        <v>39</v>
      </c>
      <c r="C2856" s="3" t="str">
        <f>"TFC000003096"</f>
        <v>TFC000003096</v>
      </c>
      <c r="D2856" s="3" t="str">
        <f>"F800-20-2120-(AR 3.8)"</f>
        <v>F800-20-2120-(AR 3.8)</v>
      </c>
      <c r="E2856" s="3" t="str">
        <f>"Happy birthday, Geronimo!"</f>
        <v>Happy birthday, Geronimo!</v>
      </c>
      <c r="F2856" s="3" t="str">
        <f>"Geronimo Stilton ; illustrated by Danilo Loizedda, Antonio Campo, Daria Cerchi ; translated by Lidia Tramontozzi"</f>
        <v>Geronimo Stilton ; illustrated by Danilo Loizedda, Antonio Campo, Daria Cerchi ; translated by Lidia Tramontozzi</v>
      </c>
      <c r="G2856" s="3" t="str">
        <f>"Scholastic"</f>
        <v>Scholastic</v>
      </c>
      <c r="H2856" s="2" t="str">
        <f>"2020"</f>
        <v>2020</v>
      </c>
      <c r="I2856" s="3" t="str">
        <f>""</f>
        <v/>
      </c>
    </row>
    <row r="2857" spans="1:9" x14ac:dyDescent="0.3">
      <c r="A2857" s="2">
        <v>2856</v>
      </c>
      <c r="B2857" s="4" t="s">
        <v>39</v>
      </c>
      <c r="C2857" s="3" t="str">
        <f>"TFC000003384"</f>
        <v>TFC000003384</v>
      </c>
      <c r="D2857" s="3" t="str">
        <f>"F500-21-0704-(AR 3.8)"</f>
        <v>F500-21-0704-(AR 3.8)</v>
      </c>
      <c r="E2857" s="3" t="str">
        <f>"How has COVID-19 changed our world?"</f>
        <v>How has COVID-19 changed our world?</v>
      </c>
      <c r="F2857" s="3" t="str">
        <f>"by Kara L. Laughlin"</f>
        <v>by Kara L. Laughlin</v>
      </c>
      <c r="G2857" s="3" t="str">
        <f>"The Child's World"</f>
        <v>The Child's World</v>
      </c>
      <c r="H2857" s="2" t="str">
        <f>"2021"</f>
        <v>2021</v>
      </c>
      <c r="I2857" s="3" t="str">
        <f>""</f>
        <v/>
      </c>
    </row>
    <row r="2858" spans="1:9" x14ac:dyDescent="0.3">
      <c r="A2858" s="2">
        <v>2857</v>
      </c>
      <c r="B2858" s="4" t="s">
        <v>39</v>
      </c>
      <c r="C2858" s="3" t="str">
        <f>"TFC000003385"</f>
        <v>TFC000003385</v>
      </c>
      <c r="D2858" s="3" t="str">
        <f>"F600-21-0705-(AR 3.8)"</f>
        <v>F600-21-0705-(AR 3.8)</v>
      </c>
      <c r="E2858" s="3" t="str">
        <f>"Snowboarding"</f>
        <v>Snowboarding</v>
      </c>
      <c r="F2858" s="3" t="str">
        <f>"by Matt Scheff"</f>
        <v>by Matt Scheff</v>
      </c>
      <c r="G2858" s="3" t="str">
        <f>"DiscoverRoo"</f>
        <v>DiscoverRoo</v>
      </c>
      <c r="H2858" s="2" t="str">
        <f>"2021"</f>
        <v>2021</v>
      </c>
      <c r="I2858" s="3" t="str">
        <f>""</f>
        <v/>
      </c>
    </row>
    <row r="2859" spans="1:9" x14ac:dyDescent="0.3">
      <c r="A2859" s="2">
        <v>2858</v>
      </c>
      <c r="B2859" s="4" t="s">
        <v>39</v>
      </c>
      <c r="C2859" s="3" t="str">
        <f>"TFC000003627"</f>
        <v>TFC000003627</v>
      </c>
      <c r="D2859" s="3" t="str">
        <f>"F800-21-0706-(AR 3.8)"</f>
        <v>F800-21-0706-(AR 3.8)</v>
      </c>
      <c r="E2859" s="3" t="str">
        <f>"Mystery at the Washington Monument"</f>
        <v>Mystery at the Washington Monument</v>
      </c>
      <c r="F2859" s="3" t="str">
        <f>"by Ron Roy ; illustrated by Timothy Bush"</f>
        <v>by Ron Roy ; illustrated by Timothy Bush</v>
      </c>
      <c r="G2859" s="3" t="str">
        <f>"Random House"</f>
        <v>Random House</v>
      </c>
      <c r="H2859" s="2" t="str">
        <f>"2009"</f>
        <v>2009</v>
      </c>
      <c r="I2859" s="3" t="str">
        <f>""</f>
        <v/>
      </c>
    </row>
    <row r="2860" spans="1:9" x14ac:dyDescent="0.3">
      <c r="A2860" s="2">
        <v>2859</v>
      </c>
      <c r="B2860" s="4" t="s">
        <v>39</v>
      </c>
      <c r="C2860" s="3" t="str">
        <f>"TFC000003628"</f>
        <v>TFC000003628</v>
      </c>
      <c r="D2860" s="3" t="str">
        <f>"F800-21-0707-(AR 3.8)"</f>
        <v>F800-21-0707-(AR 3.8)</v>
      </c>
      <c r="E2860" s="3" t="str">
        <f>"Logan likes Mary Anne!"</f>
        <v>Logan likes Mary Anne!</v>
      </c>
      <c r="F2860" s="3" t="str">
        <f>"by Ann M. Martin ; a graphic novel by Gale Galligan ; with color by Braden Lamb"</f>
        <v>by Ann M. Martin ; a graphic novel by Gale Galligan ; with color by Braden Lamb</v>
      </c>
      <c r="G2860" s="3" t="str">
        <f>"Graphix, an imprint of Scholastic Inc"</f>
        <v>Graphix, an imprint of Scholastic Inc</v>
      </c>
      <c r="H2860" s="2" t="str">
        <f>"2020"</f>
        <v>2020</v>
      </c>
      <c r="I2860" s="3" t="str">
        <f>""</f>
        <v/>
      </c>
    </row>
    <row r="2861" spans="1:9" x14ac:dyDescent="0.3">
      <c r="A2861" s="2">
        <v>2860</v>
      </c>
      <c r="B2861" s="4" t="s">
        <v>39</v>
      </c>
      <c r="C2861" s="3" t="str">
        <f>"TFC000003732"</f>
        <v>TFC000003732</v>
      </c>
      <c r="D2861" s="3" t="str">
        <f>"F800-21-0709-(AR 3.8)"</f>
        <v>F800-21-0709-(AR 3.8)</v>
      </c>
      <c r="E2861" s="3" t="str">
        <f>"Jasmine Toguchi, drummer girl"</f>
        <v>Jasmine Toguchi, drummer girl</v>
      </c>
      <c r="F2861" s="3" t="str">
        <f>"Debbi Michiko Florence ; pictures by Elizabet Vukovic"</f>
        <v>Debbi Michiko Florence ; pictures by Elizabet Vukovic</v>
      </c>
      <c r="G2861" s="3" t="str">
        <f>"Farrar Straus Giroux"</f>
        <v>Farrar Straus Giroux</v>
      </c>
      <c r="H2861" s="2" t="str">
        <f>"2018"</f>
        <v>2018</v>
      </c>
      <c r="I2861" s="3" t="str">
        <f>""</f>
        <v/>
      </c>
    </row>
    <row r="2862" spans="1:9" x14ac:dyDescent="0.3">
      <c r="A2862" s="2">
        <v>2861</v>
      </c>
      <c r="B2862" s="4" t="s">
        <v>39</v>
      </c>
      <c r="C2862" s="3" t="str">
        <f>"TFC000003729"</f>
        <v>TFC000003729</v>
      </c>
      <c r="D2862" s="3" t="str">
        <f>"F800-21-0708-(AR 3.8)"</f>
        <v>F800-21-0708-(AR 3.8)</v>
      </c>
      <c r="E2862" s="3" t="str">
        <f>"Star Wars : Jedi Academy"</f>
        <v>Star Wars : Jedi Academy</v>
      </c>
      <c r="F2862" s="3" t="str">
        <f>"by New York Times bestselling author Jeffrey Brown"</f>
        <v>by New York Times bestselling author Jeffrey Brown</v>
      </c>
      <c r="G2862" s="3" t="str">
        <f>"Scholastic Inc"</f>
        <v>Scholastic Inc</v>
      </c>
      <c r="H2862" s="2" t="str">
        <f>"2019"</f>
        <v>2019</v>
      </c>
      <c r="I2862" s="3" t="str">
        <f>""</f>
        <v/>
      </c>
    </row>
    <row r="2863" spans="1:9" x14ac:dyDescent="0.3">
      <c r="A2863" s="2">
        <v>2862</v>
      </c>
      <c r="B2863" s="4" t="s">
        <v>39</v>
      </c>
      <c r="C2863" s="3" t="str">
        <f>"TFC000003737"</f>
        <v>TFC000003737</v>
      </c>
      <c r="D2863" s="3" t="str">
        <f>"F800-21-0710-(AR 3.8)"</f>
        <v>F800-21-0710-(AR 3.8)</v>
      </c>
      <c r="E2863" s="3" t="str">
        <f>"(The)science fair from the black lagoon"</f>
        <v>(The)science fair from the black lagoon</v>
      </c>
      <c r="F2863" s="3" t="str">
        <f>"by Mike Thaler ; illustraed by Jared lee"</f>
        <v>by Mike Thaler ; illustraed by Jared lee</v>
      </c>
      <c r="G2863" s="3" t="str">
        <f>"Scholastic"</f>
        <v>Scholastic</v>
      </c>
      <c r="H2863" s="2" t="str">
        <f>"2017"</f>
        <v>2017</v>
      </c>
      <c r="I2863" s="3" t="str">
        <f>""</f>
        <v/>
      </c>
    </row>
    <row r="2864" spans="1:9" x14ac:dyDescent="0.3">
      <c r="A2864" s="2">
        <v>2863</v>
      </c>
      <c r="B2864" s="4" t="s">
        <v>39</v>
      </c>
      <c r="C2864" s="3" t="str">
        <f>"TFC000003745"</f>
        <v>TFC000003745</v>
      </c>
      <c r="D2864" s="3" t="str">
        <f>"F800-21-0711-(AR 3.8)"</f>
        <v>F800-21-0711-(AR 3.8)</v>
      </c>
      <c r="E2864" s="3" t="str">
        <f>"Appil fools' day from the black lagoon"</f>
        <v>Appil fools' day from the black lagoon</v>
      </c>
      <c r="F2864" s="3" t="str">
        <f>"by Mike Thaler ; illustraed by Jared lee"</f>
        <v>by Mike Thaler ; illustraed by Jared lee</v>
      </c>
      <c r="G2864" s="3" t="str">
        <f>"Scholastic"</f>
        <v>Scholastic</v>
      </c>
      <c r="H2864" s="2" t="str">
        <f>"2008"</f>
        <v>2008</v>
      </c>
      <c r="I2864" s="3" t="str">
        <f>""</f>
        <v/>
      </c>
    </row>
    <row r="2865" spans="1:9" x14ac:dyDescent="0.3">
      <c r="A2865" s="2">
        <v>2864</v>
      </c>
      <c r="B2865" s="4" t="s">
        <v>39</v>
      </c>
      <c r="C2865" s="3" t="str">
        <f>"TFC000003766"</f>
        <v>TFC000003766</v>
      </c>
      <c r="D2865" s="3" t="str">
        <f>"F900-21-0714-(AR 3.8)"</f>
        <v>F900-21-0714-(AR 3.8)</v>
      </c>
      <c r="E2865" s="3" t="str">
        <f>"Elizabeth leads the way : Elizabeth Cady Stanton and the right to vote"</f>
        <v>Elizabeth leads the way : Elizabeth Cady Stanton and the right to vote</v>
      </c>
      <c r="F2865" s="3" t="str">
        <f>"written by Tanya Lee Stone, illustrated by Rebecca Gibbon"</f>
        <v>written by Tanya Lee Stone, illustrated by Rebecca Gibbon</v>
      </c>
      <c r="G2865" s="3" t="str">
        <f>"Square Fish"</f>
        <v>Square Fish</v>
      </c>
      <c r="H2865" s="2" t="str">
        <f>"2010"</f>
        <v>2010</v>
      </c>
      <c r="I2865" s="3" t="str">
        <f>""</f>
        <v/>
      </c>
    </row>
    <row r="2866" spans="1:9" x14ac:dyDescent="0.3">
      <c r="A2866" s="2">
        <v>2865</v>
      </c>
      <c r="B2866" s="4" t="s">
        <v>39</v>
      </c>
      <c r="C2866" s="3" t="str">
        <f>"TFC000003788"</f>
        <v>TFC000003788</v>
      </c>
      <c r="D2866" s="3" t="str">
        <f>"F400-21-0703-(AR 3.8)"</f>
        <v>F400-21-0703-(AR 3.8)</v>
      </c>
      <c r="E2866" s="3" t="str">
        <f>"How people learned to fly"</f>
        <v>How people learned to fly</v>
      </c>
      <c r="F2866" s="3" t="str">
        <f>"by Fran Hodgkins ; illustrated by True Keller"</f>
        <v>by Fran Hodgkins ; illustrated by True Keller</v>
      </c>
      <c r="G2866" s="3" t="str">
        <f>"HarperCollins"</f>
        <v>HarperCollins</v>
      </c>
      <c r="H2866" s="2" t="str">
        <f>"2007"</f>
        <v>2007</v>
      </c>
      <c r="I2866" s="3" t="str">
        <f>""</f>
        <v/>
      </c>
    </row>
    <row r="2867" spans="1:9" x14ac:dyDescent="0.3">
      <c r="A2867" s="2">
        <v>2866</v>
      </c>
      <c r="B2867" s="4" t="s">
        <v>39</v>
      </c>
      <c r="C2867" s="3" t="str">
        <f>"TFC000004064"</f>
        <v>TFC000004064</v>
      </c>
      <c r="D2867" s="3" t="str">
        <f>"F900-21-0715-(AR 3.8)"</f>
        <v>F900-21-0715-(AR 3.8)</v>
      </c>
      <c r="E2867" s="3" t="str">
        <f>"Billie Eilish : Singing Superst"</f>
        <v>Billie Eilish : Singing Superst</v>
      </c>
      <c r="F2867" s="3" t="str">
        <f>"by Megan Borgert-spaniol"</f>
        <v>by Megan Borgert-spaniol</v>
      </c>
      <c r="G2867" s="3" t="str">
        <f>"Abdo"</f>
        <v>Abdo</v>
      </c>
      <c r="H2867" s="2" t="str">
        <f>"2021"</f>
        <v>2021</v>
      </c>
      <c r="I2867" s="3" t="str">
        <f>""</f>
        <v/>
      </c>
    </row>
    <row r="2868" spans="1:9" x14ac:dyDescent="0.3">
      <c r="A2868" s="2">
        <v>2867</v>
      </c>
      <c r="B2868" s="4" t="s">
        <v>39</v>
      </c>
      <c r="C2868" s="3" t="str">
        <f>"TFC000004107"</f>
        <v>TFC000004107</v>
      </c>
      <c r="D2868" s="3" t="str">
        <f>"F800-21-0712-(AR 3.8)"</f>
        <v>F800-21-0712-(AR 3.8)</v>
      </c>
      <c r="E2868" s="3" t="str">
        <f>"(The)130-Story treehouse"</f>
        <v>(The)130-Story treehouse</v>
      </c>
      <c r="F2868" s="3" t="str">
        <f>"by Andy Griffiths, illustrated by Terry Denton"</f>
        <v>by Andy Griffiths, illustrated by Terry Denton</v>
      </c>
      <c r="G2868" s="3" t="str">
        <f>"Feiwel &amp; Friends"</f>
        <v>Feiwel &amp; Friends</v>
      </c>
      <c r="H2868" s="2" t="str">
        <f>"2021"</f>
        <v>2021</v>
      </c>
      <c r="I2868" s="3" t="str">
        <f>""</f>
        <v/>
      </c>
    </row>
    <row r="2869" spans="1:9" x14ac:dyDescent="0.3">
      <c r="A2869" s="2">
        <v>2868</v>
      </c>
      <c r="B2869" s="4" t="s">
        <v>39</v>
      </c>
      <c r="C2869" s="3" t="str">
        <f>"TFC000004190"</f>
        <v>TFC000004190</v>
      </c>
      <c r="D2869" s="3" t="str">
        <f>"F800-21-0716-(AR 3.8)=2"</f>
        <v>F800-21-0716-(AR 3.8)=2</v>
      </c>
      <c r="E2869" s="3" t="str">
        <f>"Crown : an ode to the fresh cut"</f>
        <v>Crown : an ode to the fresh cut</v>
      </c>
      <c r="F2869" s="3" t="str">
        <f>"by Derrick Barnes, illustrated by Gordon C. James"</f>
        <v>by Derrick Barnes, illustrated by Gordon C. James</v>
      </c>
      <c r="G2869" s="3" t="str">
        <f>"Agate Bolden"</f>
        <v>Agate Bolden</v>
      </c>
      <c r="H2869" s="2" t="str">
        <f>"2017"</f>
        <v>2017</v>
      </c>
      <c r="I2869" s="3" t="str">
        <f>""</f>
        <v/>
      </c>
    </row>
    <row r="2870" spans="1:9" x14ac:dyDescent="0.3">
      <c r="A2870" s="2">
        <v>2869</v>
      </c>
      <c r="B2870" s="4" t="s">
        <v>39</v>
      </c>
      <c r="C2870" s="3" t="str">
        <f>"TFC000004191"</f>
        <v>TFC000004191</v>
      </c>
      <c r="D2870" s="3" t="str">
        <f>"F800-21-0713-(AR 3.8)"</f>
        <v>F800-21-0713-(AR 3.8)</v>
      </c>
      <c r="E2870" s="3" t="str">
        <f>"Olga and the smelly thing from nowhere"</f>
        <v>Olga and the smelly thing from nowhere</v>
      </c>
      <c r="F2870" s="3" t="str">
        <f>"by Elise Gravel"</f>
        <v>by Elise Gravel</v>
      </c>
      <c r="G2870" s="3" t="str">
        <f>"Harper"</f>
        <v>Harper</v>
      </c>
      <c r="H2870" s="2" t="str">
        <f>"2017"</f>
        <v>2017</v>
      </c>
      <c r="I2870" s="3" t="str">
        <f>""</f>
        <v/>
      </c>
    </row>
    <row r="2871" spans="1:9" x14ac:dyDescent="0.3">
      <c r="A2871" s="2">
        <v>2870</v>
      </c>
      <c r="B2871" s="4" t="s">
        <v>39</v>
      </c>
      <c r="C2871" s="3" t="str">
        <f>"TFC000004221"</f>
        <v>TFC000004221</v>
      </c>
      <c r="D2871" s="3" t="str">
        <f>"F800-22-0053-(AR 3.8)"</f>
        <v>F800-22-0053-(AR 3.8)</v>
      </c>
      <c r="E2871" s="3" t="str">
        <f>"(The)New year dragon dilemma"</f>
        <v>(The)New year dragon dilemma</v>
      </c>
      <c r="F2871" s="3" t="str">
        <f>"by Ron Roy, Illustrated by John Steven Gurney"</f>
        <v>by Ron Roy, Illustrated by John Steven Gurney</v>
      </c>
      <c r="G2871" s="3" t="str">
        <f>"Random House"</f>
        <v>Random House</v>
      </c>
      <c r="H2871" s="2" t="str">
        <f>"2015"</f>
        <v>2015</v>
      </c>
      <c r="I2871" s="3" t="str">
        <f>""</f>
        <v/>
      </c>
    </row>
    <row r="2872" spans="1:9" x14ac:dyDescent="0.3">
      <c r="A2872" s="2">
        <v>2871</v>
      </c>
      <c r="B2872" s="4" t="s">
        <v>39</v>
      </c>
      <c r="C2872" s="3" t="str">
        <f>"TFC000004224"</f>
        <v>TFC000004224</v>
      </c>
      <c r="D2872" s="3" t="str">
        <f>"F800-22-0054-(AR 3.8)"</f>
        <v>F800-22-0054-(AR 3.8)</v>
      </c>
      <c r="E2872" s="3" t="str">
        <f>"Secret Admirer"</f>
        <v>Secret Admirer</v>
      </c>
      <c r="F2872" s="3" t="str">
        <f>"by Ron Roy, illustrated by John Steven Gurney"</f>
        <v>by Ron Roy, illustrated by John Steven Gurney</v>
      </c>
      <c r="G2872" s="3" t="str">
        <f>"Random House"</f>
        <v>Random House</v>
      </c>
      <c r="H2872" s="2" t="str">
        <f>"2015"</f>
        <v>2015</v>
      </c>
      <c r="I2872" s="3" t="str">
        <f>""</f>
        <v/>
      </c>
    </row>
    <row r="2873" spans="1:9" x14ac:dyDescent="0.3">
      <c r="A2873" s="2">
        <v>2872</v>
      </c>
      <c r="B2873" s="4" t="s">
        <v>39</v>
      </c>
      <c r="C2873" s="3" t="str">
        <f>"TFC000004234"</f>
        <v>TFC000004234</v>
      </c>
      <c r="D2873" s="3" t="str">
        <f>"F800-22-0056-(AR 3.8)=2"</f>
        <v>F800-22-0056-(AR 3.8)=2</v>
      </c>
      <c r="E2873" s="3" t="str">
        <f>"(The)13-Story treehouse"</f>
        <v>(The)13-Story treehouse</v>
      </c>
      <c r="F2873" s="3" t="str">
        <f>"by Andy Griffiths, illustrated by Terry Denton"</f>
        <v>by Andy Griffiths, illustrated by Terry Denton</v>
      </c>
      <c r="G2873" s="3" t="str">
        <f>"Feiwel &amp; Friends"</f>
        <v>Feiwel &amp; Friends</v>
      </c>
      <c r="H2873" s="2" t="str">
        <f>"2013"</f>
        <v>2013</v>
      </c>
      <c r="I2873" s="3" t="str">
        <f>""</f>
        <v/>
      </c>
    </row>
    <row r="2874" spans="1:9" x14ac:dyDescent="0.3">
      <c r="A2874" s="2">
        <v>2873</v>
      </c>
      <c r="B2874" s="4" t="s">
        <v>39</v>
      </c>
      <c r="C2874" s="3" t="str">
        <f>"TFC000004291"</f>
        <v>TFC000004291</v>
      </c>
      <c r="D2874" s="3" t="str">
        <f>"F800-22-0055-(AR 3.8)"</f>
        <v>F800-22-0055-(AR 3.8)</v>
      </c>
      <c r="E2874" s="3" t="str">
        <f>"Uncle Jed's barbershop"</f>
        <v>Uncle Jed's barbershop</v>
      </c>
      <c r="F2874" s="3" t="str">
        <f>"By Margaree King Mitchell, Illustrated by James Ransome"</f>
        <v>By Margaree King Mitchell, Illustrated by James Ransome</v>
      </c>
      <c r="G2874" s="3" t="str">
        <f>"Aladdin Paperbacks"</f>
        <v>Aladdin Paperbacks</v>
      </c>
      <c r="H2874" s="2" t="str">
        <f>"1998"</f>
        <v>1998</v>
      </c>
      <c r="I2874" s="3" t="str">
        <f>""</f>
        <v/>
      </c>
    </row>
    <row r="2875" spans="1:9" x14ac:dyDescent="0.3">
      <c r="A2875" s="2">
        <v>2874</v>
      </c>
      <c r="B2875" s="4" t="s">
        <v>39</v>
      </c>
      <c r="C2875" s="3" t="str">
        <f>"TFC000004293"</f>
        <v>TFC000004293</v>
      </c>
      <c r="D2875" s="3" t="str">
        <f>"F400-22-0052-(AR 3.8)"</f>
        <v>F400-22-0052-(AR 3.8)</v>
      </c>
      <c r="E2875" s="3" t="str">
        <f>"Polar Bear vs. Grizzly Bear"</f>
        <v>Polar Bear vs. Grizzly Bear</v>
      </c>
      <c r="F2875" s="3" t="str">
        <f>"by Jerry Pallotta"</f>
        <v>by Jerry Pallotta</v>
      </c>
      <c r="G2875" s="3" t="str">
        <f>"Scholastic"</f>
        <v>Scholastic</v>
      </c>
      <c r="H2875" s="2" t="str">
        <f>"2001"</f>
        <v>2001</v>
      </c>
      <c r="I2875" s="3" t="str">
        <f>""</f>
        <v/>
      </c>
    </row>
    <row r="2876" spans="1:9" x14ac:dyDescent="0.3">
      <c r="A2876" s="2">
        <v>2875</v>
      </c>
      <c r="B2876" s="4" t="s">
        <v>39</v>
      </c>
      <c r="C2876" s="3" t="str">
        <f>"TFC000004301"</f>
        <v>TFC000004301</v>
      </c>
      <c r="D2876" s="3" t="str">
        <f>"F800-22-0105-(AR 3.8)"</f>
        <v>F800-22-0105-(AR 3.8)</v>
      </c>
      <c r="E2876" s="3" t="str">
        <f>"Dragon masters. 21, Bloom of the Flower Dragon"</f>
        <v>Dragon masters. 21, Bloom of the Flower Dragon</v>
      </c>
      <c r="F2876" s="3" t="str">
        <f>"by Tracey West, Graham Howells"</f>
        <v>by Tracey West, Graham Howells</v>
      </c>
      <c r="G2876" s="3" t="str">
        <f>"Scholastic Inc"</f>
        <v>Scholastic Inc</v>
      </c>
      <c r="H2876" s="2" t="str">
        <f>"2022"</f>
        <v>2022</v>
      </c>
      <c r="I2876" s="3" t="str">
        <f>""</f>
        <v/>
      </c>
    </row>
    <row r="2877" spans="1:9" x14ac:dyDescent="0.3">
      <c r="A2877" s="2">
        <v>2876</v>
      </c>
      <c r="B2877" s="4" t="s">
        <v>39</v>
      </c>
      <c r="C2877" s="3" t="str">
        <f>"TFC000004705"</f>
        <v>TFC000004705</v>
      </c>
      <c r="D2877" s="3" t="str">
        <f>"F800-22-0514-(AR 3.8)"</f>
        <v>F800-22-0514-(AR 3.8)</v>
      </c>
      <c r="E2877" s="3" t="str">
        <f>"Dragon masters. 22, Guarding the invisible dragons"</f>
        <v>Dragon masters. 22, Guarding the invisible dragons</v>
      </c>
      <c r="F2877" s="3" t="str">
        <f>"by Tracey West"</f>
        <v>by Tracey West</v>
      </c>
      <c r="G2877" s="3" t="str">
        <f>"Scholastic"</f>
        <v>Scholastic</v>
      </c>
      <c r="H2877" s="2" t="str">
        <f>"2022"</f>
        <v>2022</v>
      </c>
      <c r="I2877" s="3" t="str">
        <f>""</f>
        <v/>
      </c>
    </row>
    <row r="2878" spans="1:9" x14ac:dyDescent="0.3">
      <c r="A2878" s="2">
        <v>2877</v>
      </c>
      <c r="B2878" s="4" t="s">
        <v>39</v>
      </c>
      <c r="C2878" s="3" t="str">
        <f>"TFC000004690"</f>
        <v>TFC000004690</v>
      </c>
      <c r="D2878" s="3" t="str">
        <f>"F900-22-0499-(AR3.8)"</f>
        <v>F900-22-0499-(AR3.8)</v>
      </c>
      <c r="E2878" s="3" t="str">
        <f>"Who Was the Voice of the People? : Cesar Chaves"</f>
        <v>Who Was the Voice of the People? : Cesar Chaves</v>
      </c>
      <c r="F2878" s="3" t="str">
        <f>"by Terry Blas, illustrated by Mar Julia"</f>
        <v>by Terry Blas, illustrated by Mar Julia</v>
      </c>
      <c r="G2878" s="3" t="str">
        <f>"Penguin Workshop"</f>
        <v>Penguin Workshop</v>
      </c>
      <c r="H2878" s="2" t="str">
        <f>"2022"</f>
        <v>2022</v>
      </c>
      <c r="I2878" s="3" t="str">
        <f>""</f>
        <v/>
      </c>
    </row>
    <row r="2879" spans="1:9" x14ac:dyDescent="0.3">
      <c r="A2879" s="2">
        <v>2878</v>
      </c>
      <c r="B2879" s="4" t="s">
        <v>39</v>
      </c>
      <c r="C2879" s="3" t="str">
        <f>"TFC000004354"</f>
        <v>TFC000004354</v>
      </c>
      <c r="D2879" s="3" t="str">
        <f>"F800-22-0163-(AR3.8)"</f>
        <v>F800-22-0163-(AR3.8)</v>
      </c>
      <c r="E2879" s="3" t="str">
        <f>"Dragon masters. 20, Howl of the wind dragon"</f>
        <v>Dragon masters. 20, Howl of the wind dragon</v>
      </c>
      <c r="F2879" s="3" t="str">
        <f>"by Tracey West, illustrated by Graham Howells"</f>
        <v>by Tracey West, illustrated by Graham Howells</v>
      </c>
      <c r="G2879" s="3" t="str">
        <f>"Scholastic"</f>
        <v>Scholastic</v>
      </c>
      <c r="H2879" s="2" t="str">
        <f>"2021"</f>
        <v>2021</v>
      </c>
      <c r="I2879" s="3" t="str">
        <f>""</f>
        <v/>
      </c>
    </row>
    <row r="2880" spans="1:9" x14ac:dyDescent="0.3">
      <c r="A2880" s="2">
        <v>2879</v>
      </c>
      <c r="B2880" s="4" t="s">
        <v>39</v>
      </c>
      <c r="C2880" s="3" t="str">
        <f>"TFC000004487"</f>
        <v>TFC000004487</v>
      </c>
      <c r="D2880" s="3" t="str">
        <f>"F800-22-0296-(AR3.8)"</f>
        <v>F800-22-0296-(AR3.8)</v>
      </c>
      <c r="E2880" s="3" t="str">
        <f>"Heidi Heckelbeck and the Lost Library Book"</f>
        <v>Heidi Heckelbeck and the Lost Library Book</v>
      </c>
      <c r="F2880" s="3" t="str">
        <f>"by Wanda Coven, illustrated by Priscilla Burris"</f>
        <v>by Wanda Coven, illustrated by Priscilla Burris</v>
      </c>
      <c r="G2880" s="3" t="str">
        <f>"Little Simon"</f>
        <v>Little Simon</v>
      </c>
      <c r="H2880" s="2" t="str">
        <f>"2021"</f>
        <v>2021</v>
      </c>
      <c r="I2880" s="3" t="str">
        <f>""</f>
        <v/>
      </c>
    </row>
    <row r="2881" spans="1:9" x14ac:dyDescent="0.3">
      <c r="A2881" s="2">
        <v>2880</v>
      </c>
      <c r="B2881" s="4" t="s">
        <v>39</v>
      </c>
      <c r="C2881" s="3" t="str">
        <f>"TFC000004488"</f>
        <v>TFC000004488</v>
      </c>
      <c r="D2881" s="3" t="str">
        <f>"F800-22-0297-(AR3.8)"</f>
        <v>F800-22-0297-(AR3.8)</v>
      </c>
      <c r="E2881" s="3" t="str">
        <f>"Spider-Ham : Great Power, no Responsibility"</f>
        <v>Spider-Ham : Great Power, no Responsibility</v>
      </c>
      <c r="F2881" s="3" t="str">
        <f>"written by Steve Foxe, illustrated by Shadia Amin"</f>
        <v>written by Steve Foxe, illustrated by Shadia Amin</v>
      </c>
      <c r="G2881" s="3" t="str">
        <f>"Scholastic"</f>
        <v>Scholastic</v>
      </c>
      <c r="H2881" s="2" t="str">
        <f>"2021"</f>
        <v>2021</v>
      </c>
      <c r="I2881" s="3" t="str">
        <f>""</f>
        <v/>
      </c>
    </row>
    <row r="2882" spans="1:9" x14ac:dyDescent="0.3">
      <c r="A2882" s="2">
        <v>2881</v>
      </c>
      <c r="B2882" s="4" t="s">
        <v>39</v>
      </c>
      <c r="C2882" s="3" t="str">
        <f>"TFC000004691"</f>
        <v>TFC000004691</v>
      </c>
      <c r="D2882" s="3" t="str">
        <f>"F800-22-0500-(AR3.8)"</f>
        <v>F800-22-0500-(AR3.8)</v>
      </c>
      <c r="E2882" s="3" t="str">
        <f>"Never Fear, Meena's Here!"</f>
        <v>Never Fear, Meena's Here!</v>
      </c>
      <c r="F2882" s="3" t="str">
        <f>"by Karla Manternach"</f>
        <v>by Karla Manternach</v>
      </c>
      <c r="G2882" s="3" t="str">
        <f>"Simon &amp; Schuster Books for Young Readers"</f>
        <v>Simon &amp; Schuster Books for Young Readers</v>
      </c>
      <c r="H2882" s="2" t="str">
        <f>"2020"</f>
        <v>2020</v>
      </c>
      <c r="I2882" s="3" t="str">
        <f>""</f>
        <v/>
      </c>
    </row>
    <row r="2883" spans="1:9" x14ac:dyDescent="0.3">
      <c r="A2883" s="2">
        <v>2882</v>
      </c>
      <c r="B2883" s="4" t="s">
        <v>39</v>
      </c>
      <c r="C2883" s="3" t="str">
        <f>"TFC000004710"</f>
        <v>TFC000004710</v>
      </c>
      <c r="D2883" s="3" t="str">
        <f>"F800-22-0519-1(AR 3.8)"</f>
        <v>F800-22-0519-1(AR 3.8)</v>
      </c>
      <c r="E2883" s="3" t="str">
        <f>"(The)13-Storey Treehouse"</f>
        <v>(The)13-Storey Treehouse</v>
      </c>
      <c r="F2883" s="3" t="str">
        <f>"by Andy Griffiths, illustrated by Terry Denton"</f>
        <v>by Andy Griffiths, illustrated by Terry Denton</v>
      </c>
      <c r="G2883" s="3" t="str">
        <f>"Macmillan Children's Books"</f>
        <v>Macmillan Children's Books</v>
      </c>
      <c r="H2883" s="2" t="str">
        <f>"2015"</f>
        <v>2015</v>
      </c>
      <c r="I2883" s="3" t="str">
        <f>""</f>
        <v/>
      </c>
    </row>
    <row r="2884" spans="1:9" x14ac:dyDescent="0.3">
      <c r="A2884" s="2">
        <v>2883</v>
      </c>
      <c r="B2884" s="4" t="s">
        <v>39</v>
      </c>
      <c r="C2884" s="3" t="str">
        <f>"TFC000001842"</f>
        <v>TFC000001842</v>
      </c>
      <c r="D2884" s="3" t="str">
        <f>"F400-20-2042-10(AR 3.8)"</f>
        <v>F400-20-2042-10(AR 3.8)</v>
      </c>
      <c r="E2884" s="3" t="str">
        <f>"Andrew lost. 10, on earth"</f>
        <v>Andrew lost. 10, on earth</v>
      </c>
      <c r="F2884" s="3" t="str">
        <f>"J.C. Greenburg ; illustrated by Jan Gerardi"</f>
        <v>J.C. Greenburg ; illustrated by Jan Gerardi</v>
      </c>
      <c r="G2884" s="3" t="str">
        <f>"Random House"</f>
        <v>Random House</v>
      </c>
      <c r="H2884" s="2" t="str">
        <f>"2005"</f>
        <v>2005</v>
      </c>
      <c r="I2884" s="3" t="str">
        <f>""</f>
        <v/>
      </c>
    </row>
    <row r="2885" spans="1:9" x14ac:dyDescent="0.3">
      <c r="A2885" s="2">
        <v>2884</v>
      </c>
      <c r="B2885" s="4" t="s">
        <v>39</v>
      </c>
      <c r="C2885" s="3" t="str">
        <f>"TFC000004719"</f>
        <v>TFC000004719</v>
      </c>
      <c r="D2885" s="3" t="str">
        <f>"F800-22-0519-10(AR 3.8)"</f>
        <v>F800-22-0519-10(AR 3.8)</v>
      </c>
      <c r="E2885" s="3" t="str">
        <f>"(The)130-Storey Treehouse"</f>
        <v>(The)130-Storey Treehouse</v>
      </c>
      <c r="F2885" s="3" t="str">
        <f>"by Andy Griffiths"</f>
        <v>by Andy Griffiths</v>
      </c>
      <c r="G2885" s="3" t="str">
        <f>"Macmillan"</f>
        <v>Macmillan</v>
      </c>
      <c r="H2885" s="2" t="str">
        <f>"2021"</f>
        <v>2021</v>
      </c>
      <c r="I2885" s="3" t="str">
        <f>""</f>
        <v/>
      </c>
    </row>
    <row r="2886" spans="1:9" x14ac:dyDescent="0.3">
      <c r="A2886" s="2">
        <v>2885</v>
      </c>
      <c r="B2886" s="4">
        <v>3.8</v>
      </c>
      <c r="C2886" s="3" t="str">
        <f>"TFC000001843"</f>
        <v>TFC000001843</v>
      </c>
      <c r="D2886" s="3" t="str">
        <f>"F400-20-2043-11(AR 3.8)"</f>
        <v>F400-20-2043-11(AR 3.8)</v>
      </c>
      <c r="E2886" s="3" t="str">
        <f>"Andrew lost. 11, with the dinosaurs"</f>
        <v>Andrew lost. 11, with the dinosaurs</v>
      </c>
      <c r="F2886" s="3" t="str">
        <f>"by J.C. Greenburg ; illustrated by Jan Gerardi"</f>
        <v>by J.C. Greenburg ; illustrated by Jan Gerardi</v>
      </c>
      <c r="G2886" s="3" t="str">
        <f>"Random House"</f>
        <v>Random House</v>
      </c>
      <c r="H2886" s="2" t="str">
        <f>"2005"</f>
        <v>2005</v>
      </c>
      <c r="I2886" s="3" t="str">
        <f>""</f>
        <v/>
      </c>
    </row>
    <row r="2887" spans="1:9" x14ac:dyDescent="0.3">
      <c r="A2887" s="2">
        <v>2886</v>
      </c>
      <c r="B2887" s="4">
        <v>3.8</v>
      </c>
      <c r="C2887" s="3" t="str">
        <f>"TFC000001857"</f>
        <v>TFC000001857</v>
      </c>
      <c r="D2887" s="3" t="str">
        <f>"F800-20-2058-11(AR 3.8)"</f>
        <v>F800-20-2058-11(AR 3.8)</v>
      </c>
      <c r="E2887" s="3" t="str">
        <f>"(The)mystery of the stolen corn popper"</f>
        <v>(The)mystery of the stolen corn popper</v>
      </c>
      <c r="F2887" s="3" t="str">
        <f>"by David A. Adler ; illustrated by Susanna Natti"</f>
        <v>by David A. Adler ; illustrated by Susanna Natti</v>
      </c>
      <c r="G2887" s="3" t="str">
        <f>"Puffin Books"</f>
        <v>Puffin Books</v>
      </c>
      <c r="H2887" s="2" t="str">
        <f>"2010"</f>
        <v>2010</v>
      </c>
      <c r="I2887" s="3" t="str">
        <f>""</f>
        <v/>
      </c>
    </row>
    <row r="2888" spans="1:9" x14ac:dyDescent="0.3">
      <c r="A2888" s="2">
        <v>2887</v>
      </c>
      <c r="B2888" s="4">
        <v>3.8</v>
      </c>
      <c r="C2888" s="3" t="str">
        <f>"TFC000001873"</f>
        <v>TFC000001873</v>
      </c>
      <c r="D2888" s="3" t="str">
        <f>"F800-20-2074-11(AR 3.8)"</f>
        <v>F800-20-2074-11(AR 3.8)</v>
      </c>
      <c r="E2888" s="3" t="str">
        <f>"Mrs. Kormel is not normal!"</f>
        <v>Mrs. Kormel is not normal!</v>
      </c>
      <c r="F2888" s="3" t="str">
        <f>"Dan Gutman ; pictures by Jim Paillot"</f>
        <v>Dan Gutman ; pictures by Jim Paillot</v>
      </c>
      <c r="G2888" s="3" t="str">
        <f>"HarperTrophy"</f>
        <v>HarperTrophy</v>
      </c>
      <c r="H2888" s="2" t="str">
        <f>"2006"</f>
        <v>2006</v>
      </c>
      <c r="I2888" s="3" t="str">
        <f>""</f>
        <v/>
      </c>
    </row>
    <row r="2889" spans="1:9" x14ac:dyDescent="0.3">
      <c r="A2889" s="2">
        <v>2888</v>
      </c>
      <c r="B2889" s="4">
        <v>3.8</v>
      </c>
      <c r="C2889" s="3" t="str">
        <f>"TFC000001844"</f>
        <v>TFC000001844</v>
      </c>
      <c r="D2889" s="3" t="str">
        <f>"F400-20-2044-12(AR 3.8)"</f>
        <v>F400-20-2044-12(AR 3.8)</v>
      </c>
      <c r="E2889" s="3" t="str">
        <f>"Andrew lost. 12, in the ice age"</f>
        <v>Andrew lost. 12, in the ice age</v>
      </c>
      <c r="F2889" s="3" t="str">
        <f>"by J.C. Greenburg ; illustrated by Jan Gerardi"</f>
        <v>by J.C. Greenburg ; illustrated by Jan Gerardi</v>
      </c>
      <c r="G2889" s="3" t="str">
        <f>"Random House"</f>
        <v>Random House</v>
      </c>
      <c r="H2889" s="2" t="str">
        <f>"2005"</f>
        <v>2005</v>
      </c>
      <c r="I2889" s="3" t="str">
        <f>""</f>
        <v/>
      </c>
    </row>
    <row r="2890" spans="1:9" x14ac:dyDescent="0.3">
      <c r="A2890" s="2">
        <v>2889</v>
      </c>
      <c r="B2890" s="4">
        <v>3.8</v>
      </c>
      <c r="C2890" s="3" t="str">
        <f>"TFC000001895"</f>
        <v>TFC000001895</v>
      </c>
      <c r="D2890" s="3" t="str">
        <f>"F800-20-2094-12(AR 3.8)"</f>
        <v>F800-20-2094-12(AR 3.8)</v>
      </c>
      <c r="E2890" s="3" t="str">
        <f>"(The)lucky lottery"</f>
        <v>(The)lucky lottery</v>
      </c>
      <c r="F2890" s="3" t="str">
        <f>"by Ron Roy ; illustrated by John Steven Gurney"</f>
        <v>by Ron Roy ; illustrated by John Steven Gurney</v>
      </c>
      <c r="G2890" s="3" t="str">
        <f>"Random House"</f>
        <v>Random House</v>
      </c>
      <c r="H2890" s="2" t="str">
        <f>"2015"</f>
        <v>2015</v>
      </c>
      <c r="I2890" s="3" t="str">
        <f>""</f>
        <v/>
      </c>
    </row>
    <row r="2891" spans="1:9" x14ac:dyDescent="0.3">
      <c r="A2891" s="2">
        <v>2890</v>
      </c>
      <c r="B2891" s="4">
        <v>3.8</v>
      </c>
      <c r="C2891" s="3" t="str">
        <f>"TFC000001874"</f>
        <v>TFC000001874</v>
      </c>
      <c r="D2891" s="3" t="str">
        <f>"F800-20-2075-13(AR 3.8)"</f>
        <v>F800-20-2075-13(AR 3.8)</v>
      </c>
      <c r="E2891" s="3" t="str">
        <f>"Mrs. Patty is batty!"</f>
        <v>Mrs. Patty is batty!</v>
      </c>
      <c r="F2891" s="3" t="str">
        <f>"Dan Gutman ; pictures by Jim Paillot"</f>
        <v>Dan Gutman ; pictures by Jim Paillot</v>
      </c>
      <c r="G2891" s="3" t="str">
        <f>"HarperTrophy"</f>
        <v>HarperTrophy</v>
      </c>
      <c r="H2891" s="2" t="str">
        <f>"2006"</f>
        <v>2006</v>
      </c>
      <c r="I2891" s="3" t="str">
        <f>""</f>
        <v/>
      </c>
    </row>
    <row r="2892" spans="1:9" x14ac:dyDescent="0.3">
      <c r="A2892" s="2">
        <v>2891</v>
      </c>
      <c r="B2892" s="4">
        <v>3.8</v>
      </c>
      <c r="C2892" s="3" t="str">
        <f>"TFC000001845"</f>
        <v>TFC000001845</v>
      </c>
      <c r="D2892" s="3" t="str">
        <f>"F400-20-2045-17(AR 3.8)"</f>
        <v>F400-20-2045-17(AR 3.8)</v>
      </c>
      <c r="E2892" s="3" t="str">
        <f>"Andrew lost. 17, In the desert"</f>
        <v>Andrew lost. 17, In the desert</v>
      </c>
      <c r="F2892" s="3" t="str">
        <f>"by J.C. Greenburg ; illustrated by Debbie Palen"</f>
        <v>by J.C. Greenburg ; illustrated by Debbie Palen</v>
      </c>
      <c r="G2892" s="3" t="str">
        <f>"Random house"</f>
        <v>Random house</v>
      </c>
      <c r="H2892" s="2" t="str">
        <f>"2008"</f>
        <v>2008</v>
      </c>
      <c r="I2892" s="3" t="str">
        <f>""</f>
        <v/>
      </c>
    </row>
    <row r="2893" spans="1:9" x14ac:dyDescent="0.3">
      <c r="A2893" s="2">
        <v>2892</v>
      </c>
      <c r="B2893" s="4">
        <v>3.8</v>
      </c>
      <c r="C2893" s="3" t="str">
        <f>"TFC000001883"</f>
        <v>TFC000001883</v>
      </c>
      <c r="D2893" s="3" t="str">
        <f>"F800-20-2084-20(AR 3.8)"</f>
        <v>F800-20-2084-20(AR 3.8)</v>
      </c>
      <c r="E2893" s="3" t="str">
        <f>"(A)perfect time for pandas"</f>
        <v>(A)perfect time for pandas</v>
      </c>
      <c r="F2893" s="3" t="str">
        <f>"by Mary Pope Osborne ; illustrated by Sal Murdocca"</f>
        <v>by Mary Pope Osborne ; illustrated by Sal Murdocca</v>
      </c>
      <c r="G2893" s="3" t="str">
        <f>"Random House"</f>
        <v>Random House</v>
      </c>
      <c r="H2893" s="2" t="str">
        <f>"2014"</f>
        <v>2014</v>
      </c>
      <c r="I2893" s="3" t="str">
        <f>""</f>
        <v/>
      </c>
    </row>
    <row r="2894" spans="1:9" x14ac:dyDescent="0.3">
      <c r="A2894" s="2">
        <v>2893</v>
      </c>
      <c r="B2894" s="4">
        <v>3.8</v>
      </c>
      <c r="C2894" s="3" t="str">
        <f>"TFC000001896"</f>
        <v>TFC000001896</v>
      </c>
      <c r="D2894" s="3" t="str">
        <f>"F800-20-2095-20(AR 3.8)"</f>
        <v>F800-20-2095-20(AR 3.8)</v>
      </c>
      <c r="E2894" s="3" t="str">
        <f>"(The)talking T. Rex"</f>
        <v>(The)talking T. Rex</v>
      </c>
      <c r="F2894" s="3" t="str">
        <f>"by Ron Roy ; illustrated by John Steven Gurney"</f>
        <v>by Ron Roy ; illustrated by John Steven Gurney</v>
      </c>
      <c r="G2894" s="3" t="str">
        <f>"Random House"</f>
        <v>Random House</v>
      </c>
      <c r="H2894" s="2" t="str">
        <f>"2015"</f>
        <v>2015</v>
      </c>
      <c r="I2894" s="3" t="str">
        <f>""</f>
        <v/>
      </c>
    </row>
    <row r="2895" spans="1:9" x14ac:dyDescent="0.3">
      <c r="A2895" s="2">
        <v>2894</v>
      </c>
      <c r="B2895" s="4">
        <v>3.8</v>
      </c>
      <c r="C2895" s="3" t="str">
        <f>"TFC000001884"</f>
        <v>TFC000001884</v>
      </c>
      <c r="D2895" s="3" t="str">
        <f>"F800-20-2085-21(AR 3.8)"</f>
        <v>F800-20-2085-21(AR 3.8)</v>
      </c>
      <c r="E2895" s="3" t="str">
        <f>"Stallion by starlight"</f>
        <v>Stallion by starlight</v>
      </c>
      <c r="F2895" s="3" t="str">
        <f>"by Mary Pope Osborne ; illustrated by Sal Murdocca"</f>
        <v>by Mary Pope Osborne ; illustrated by Sal Murdocca</v>
      </c>
      <c r="G2895" s="3" t="str">
        <f>"Random House"</f>
        <v>Random House</v>
      </c>
      <c r="H2895" s="2" t="str">
        <f>"2013"</f>
        <v>2013</v>
      </c>
      <c r="I2895" s="3" t="str">
        <f>""</f>
        <v/>
      </c>
    </row>
    <row r="2896" spans="1:9" x14ac:dyDescent="0.3">
      <c r="A2896" s="2">
        <v>2895</v>
      </c>
      <c r="B2896" s="4">
        <v>3.8</v>
      </c>
      <c r="C2896" s="3" t="str">
        <f>"TFC000001897"</f>
        <v>TFC000001897</v>
      </c>
      <c r="D2896" s="3" t="str">
        <f>"F800-20-2096-24(AR 3.8)"</f>
        <v>F800-20-2096-24(AR 3.8)</v>
      </c>
      <c r="E2896" s="3" t="str">
        <f>"(The)x'ed-out x-ray"</f>
        <v>(The)x'ed-out x-ray</v>
      </c>
      <c r="F2896" s="3" t="str">
        <f>"by Ron Roy ; illustrated by John Steven Gurney"</f>
        <v>by Ron Roy ; illustrated by John Steven Gurney</v>
      </c>
      <c r="G2896" s="3" t="str">
        <f>"Random House"</f>
        <v>Random House</v>
      </c>
      <c r="H2896" s="2" t="str">
        <f>"2015"</f>
        <v>2015</v>
      </c>
      <c r="I2896" s="3" t="str">
        <f>""</f>
        <v/>
      </c>
    </row>
    <row r="2897" spans="1:9" x14ac:dyDescent="0.3">
      <c r="A2897" s="2">
        <v>2896</v>
      </c>
      <c r="B2897" s="4">
        <v>3.8</v>
      </c>
      <c r="C2897" s="3" t="str">
        <f>"TFC000001898"</f>
        <v>TFC000001898</v>
      </c>
      <c r="D2897" s="3" t="str">
        <f>"F800-20-2097-26(AR 3.8)"</f>
        <v>F800-20-2097-26(AR 3.8)</v>
      </c>
      <c r="E2897" s="3" t="str">
        <f>"(The)Zombie Zone"</f>
        <v>(The)Zombie Zone</v>
      </c>
      <c r="F2897" s="3" t="str">
        <f>"by Ron Roy ; illustrated by John Steven Gurney"</f>
        <v>by Ron Roy ; illustrated by John Steven Gurney</v>
      </c>
      <c r="G2897" s="3" t="str">
        <f>"Random House"</f>
        <v>Random House</v>
      </c>
      <c r="H2897" s="2" t="str">
        <f>"2015"</f>
        <v>2015</v>
      </c>
      <c r="I2897" s="3" t="str">
        <f>""</f>
        <v/>
      </c>
    </row>
    <row r="2898" spans="1:9" x14ac:dyDescent="0.3">
      <c r="A2898" s="2">
        <v>2897</v>
      </c>
      <c r="B2898" s="4">
        <v>3.8</v>
      </c>
      <c r="C2898" s="3" t="str">
        <f>"TFC000001855"</f>
        <v>TFC000001855</v>
      </c>
      <c r="D2898" s="3" t="str">
        <f>"F800-20-2056-3(AR 3.8)"</f>
        <v>F800-20-2056-3(AR 3.8)</v>
      </c>
      <c r="E2898" s="3" t="str">
        <f>"(The)mystery of the dinosaur bones"</f>
        <v>(The)mystery of the dinosaur bones</v>
      </c>
      <c r="F2898" s="3" t="str">
        <f>"by David A. Adler ; illustrated by Susanna Natti"</f>
        <v>by David A. Adler ; illustrated by Susanna Natti</v>
      </c>
      <c r="G2898" s="3" t="str">
        <f>"Puffin Books"</f>
        <v>Puffin Books</v>
      </c>
      <c r="H2898" s="2" t="str">
        <f>"2010"</f>
        <v>2010</v>
      </c>
      <c r="I2898" s="3" t="str">
        <f>""</f>
        <v/>
      </c>
    </row>
    <row r="2899" spans="1:9" x14ac:dyDescent="0.3">
      <c r="A2899" s="2">
        <v>2898</v>
      </c>
      <c r="B2899" s="4">
        <v>3.8</v>
      </c>
      <c r="C2899" s="3" t="str">
        <f>"TFC000001881"</f>
        <v>TFC000001881</v>
      </c>
      <c r="D2899" s="3" t="str">
        <f>"F800-20-2082-4(AR 3.8)"</f>
        <v>F800-20-2082-4(AR 3.8)</v>
      </c>
      <c r="E2899" s="3" t="str">
        <f>"Winter of the ice wizard"</f>
        <v>Winter of the ice wizard</v>
      </c>
      <c r="F2899" s="3" t="str">
        <f>"by Mary Pope Osborne ; illustrated by Sal Murdocca"</f>
        <v>by Mary Pope Osborne ; illustrated by Sal Murdocca</v>
      </c>
      <c r="G2899" s="3" t="str">
        <f>"Random House"</f>
        <v>Random House</v>
      </c>
      <c r="H2899" s="2" t="str">
        <f>"2004"</f>
        <v>2004</v>
      </c>
      <c r="I2899" s="3" t="str">
        <f>""</f>
        <v/>
      </c>
    </row>
    <row r="2900" spans="1:9" x14ac:dyDescent="0.3">
      <c r="A2900" s="2">
        <v>2899</v>
      </c>
      <c r="B2900" s="4">
        <v>3.8</v>
      </c>
      <c r="C2900" s="3" t="str">
        <f>"TFC000001840"</f>
        <v>TFC000001840</v>
      </c>
      <c r="D2900" s="3" t="str">
        <f>"F400-20-2040-5(AR 3.8)"</f>
        <v>F400-20-2040-5(AR 3.8)</v>
      </c>
      <c r="E2900" s="3" t="str">
        <f>"Andrew lost. 5, under water"</f>
        <v>Andrew lost. 5, under water</v>
      </c>
      <c r="F2900" s="3" t="str">
        <f>"by J.C. Greenburg ; illustrated by Mike Reed"</f>
        <v>by J.C. Greenburg ; illustrated by Mike Reed</v>
      </c>
      <c r="G2900" s="3" t="str">
        <f>"Random House"</f>
        <v>Random House</v>
      </c>
      <c r="H2900" s="2" t="str">
        <f>"2003"</f>
        <v>2003</v>
      </c>
      <c r="I2900" s="3" t="str">
        <f>""</f>
        <v/>
      </c>
    </row>
    <row r="2901" spans="1:9" x14ac:dyDescent="0.3">
      <c r="A2901" s="2">
        <v>2900</v>
      </c>
      <c r="B2901" s="4">
        <v>3.8</v>
      </c>
      <c r="C2901" s="3" t="str">
        <f>"TFC000001856"</f>
        <v>TFC000001856</v>
      </c>
      <c r="D2901" s="3" t="str">
        <f>"F800-20-2057-6(AR 3.8)"</f>
        <v>F800-20-2057-6(AR 3.8)</v>
      </c>
      <c r="E2901" s="3" t="str">
        <f>"(The)mystery of the Babe Ruth baseball"</f>
        <v>(The)mystery of the Babe Ruth baseball</v>
      </c>
      <c r="F2901" s="3" t="str">
        <f>"by David A. Adler ; illustrated by Susanna Natti"</f>
        <v>by David A. Adler ; illustrated by Susanna Natti</v>
      </c>
      <c r="G2901" s="3" t="str">
        <f>"Puffin Books"</f>
        <v>Puffin Books</v>
      </c>
      <c r="H2901" s="2" t="str">
        <f>"2010"</f>
        <v>2010</v>
      </c>
      <c r="I2901" s="3" t="str">
        <f>""</f>
        <v/>
      </c>
    </row>
    <row r="2902" spans="1:9" x14ac:dyDescent="0.3">
      <c r="A2902" s="2">
        <v>2901</v>
      </c>
      <c r="B2902" s="4">
        <v>3.8</v>
      </c>
      <c r="C2902" s="3" t="str">
        <f>"TFC000001870"</f>
        <v>TFC000001870</v>
      </c>
      <c r="D2902" s="3" t="str">
        <f>"F800-20-2071-6(AR 3.8)"</f>
        <v>F800-20-2071-6(AR 3.8)</v>
      </c>
      <c r="E2902" s="3" t="str">
        <f>"Mr. Hynde is out of his mind!"</f>
        <v>Mr. Hynde is out of his mind!</v>
      </c>
      <c r="F2902" s="3" t="str">
        <f>"Dan Gutman ; pictures by Jim Paillot"</f>
        <v>Dan Gutman ; pictures by Jim Paillot</v>
      </c>
      <c r="G2902" s="3" t="str">
        <f>"HarperTrophy"</f>
        <v>HarperTrophy</v>
      </c>
      <c r="H2902" s="2" t="str">
        <f>"2005"</f>
        <v>2005</v>
      </c>
      <c r="I2902" s="3" t="str">
        <f>""</f>
        <v/>
      </c>
    </row>
    <row r="2903" spans="1:9" x14ac:dyDescent="0.3">
      <c r="A2903" s="2">
        <v>2902</v>
      </c>
      <c r="B2903" s="4">
        <v>3.8</v>
      </c>
      <c r="C2903" s="3" t="str">
        <f>"TFC000001841"</f>
        <v>TFC000001841</v>
      </c>
      <c r="D2903" s="3" t="str">
        <f>"F400-20-2041-7(AR 3.8)"</f>
        <v>F400-20-2041-7(AR 3.8)</v>
      </c>
      <c r="E2903" s="3" t="str">
        <f>"Andrew lost. 7, on the reef"</f>
        <v>Andrew lost. 7, on the reef</v>
      </c>
      <c r="F2903" s="3" t="str">
        <f>"by J.C. Greenburg ; illustrated by Jan Gerardi"</f>
        <v>by J.C. Greenburg ; illustrated by Jan Gerardi</v>
      </c>
      <c r="G2903" s="3" t="str">
        <f>"Random House"</f>
        <v>Random House</v>
      </c>
      <c r="H2903" s="2" t="str">
        <f>"2003"</f>
        <v>2003</v>
      </c>
      <c r="I2903" s="3" t="str">
        <f>""</f>
        <v/>
      </c>
    </row>
    <row r="2904" spans="1:9" x14ac:dyDescent="0.3">
      <c r="A2904" s="2">
        <v>2903</v>
      </c>
      <c r="B2904" s="4" t="s">
        <v>39</v>
      </c>
      <c r="C2904" s="3" t="str">
        <f>"TFC000001871"</f>
        <v>TFC000001871</v>
      </c>
      <c r="D2904" s="3" t="str">
        <f>"F800-20-2072-8(AR 3.8)"</f>
        <v>F800-20-2072-8(AR 3.8)</v>
      </c>
      <c r="E2904" s="3" t="str">
        <f>"Ms. Lagrange is strange!"</f>
        <v>Ms. Lagrange is strange!</v>
      </c>
      <c r="F2904" s="3" t="str">
        <f>"Dan Gutman ; pictures by Jim Paillot"</f>
        <v>Dan Gutman ; pictures by Jim Paillot</v>
      </c>
      <c r="G2904" s="3" t="str">
        <f>"HarperTrophy"</f>
        <v>HarperTrophy</v>
      </c>
      <c r="H2904" s="2" t="str">
        <f>"2005"</f>
        <v>2005</v>
      </c>
      <c r="I2904" s="3" t="str">
        <f>""</f>
        <v/>
      </c>
    </row>
    <row r="2905" spans="1:9" x14ac:dyDescent="0.3">
      <c r="A2905" s="2">
        <v>2904</v>
      </c>
      <c r="B2905" s="4" t="s">
        <v>39</v>
      </c>
      <c r="C2905" s="3" t="str">
        <f>"TFC000001872"</f>
        <v>TFC000001872</v>
      </c>
      <c r="D2905" s="3" t="str">
        <f>"F800-20-2073-9(AR 3.8)"</f>
        <v>F800-20-2073-9(AR 3.8)</v>
      </c>
      <c r="E2905" s="3" t="str">
        <f>"Miss Lazar is bizarre!"</f>
        <v>Miss Lazar is bizarre!</v>
      </c>
      <c r="F2905" s="3" t="str">
        <f>"Dan Gutman ; pictures by Jim Paillot"</f>
        <v>Dan Gutman ; pictures by Jim Paillot</v>
      </c>
      <c r="G2905" s="3" t="str">
        <f>"HarperTrophy"</f>
        <v>HarperTrophy</v>
      </c>
      <c r="H2905" s="2" t="str">
        <f>"2005"</f>
        <v>2005</v>
      </c>
      <c r="I2905" s="3" t="str">
        <f>""</f>
        <v/>
      </c>
    </row>
    <row r="2906" spans="1:9" x14ac:dyDescent="0.3">
      <c r="A2906" s="2">
        <v>2905</v>
      </c>
      <c r="B2906" s="4" t="s">
        <v>40</v>
      </c>
      <c r="C2906" s="3" t="str">
        <f>"TFC000001950"</f>
        <v>TFC000001950</v>
      </c>
      <c r="D2906" s="3" t="str">
        <f>"F800-20-2158-(AR 3.9)"</f>
        <v>F800-20-2158-(AR 3.9)</v>
      </c>
      <c r="E2906" s="3" t="str">
        <f>"(The)journey home from Grandpa's"</f>
        <v>(The)journey home from Grandpa's</v>
      </c>
      <c r="F2906" s="3" t="str">
        <f>"written by Jemima Lumley ; illustrated by Sophie Fatus ; sung by Fred Penner"</f>
        <v>written by Jemima Lumley ; illustrated by Sophie Fatus ; sung by Fred Penner</v>
      </c>
      <c r="G2906" s="3" t="str">
        <f>"Barefoot Books"</f>
        <v>Barefoot Books</v>
      </c>
      <c r="H2906" s="2" t="str">
        <f>"2011"</f>
        <v>2011</v>
      </c>
      <c r="I2906" s="2" t="s">
        <v>2</v>
      </c>
    </row>
    <row r="2907" spans="1:9" x14ac:dyDescent="0.3">
      <c r="A2907" s="2">
        <v>2906</v>
      </c>
      <c r="B2907" s="4" t="s">
        <v>40</v>
      </c>
      <c r="C2907" s="3" t="str">
        <f>"TFC000001923"</f>
        <v>TFC000001923</v>
      </c>
      <c r="D2907" s="3" t="str">
        <f>"F800-20-2131-(AR 3.9)"</f>
        <v>F800-20-2131-(AR 3.9)</v>
      </c>
      <c r="E2907" s="3" t="str">
        <f>"Alice in wonderland"</f>
        <v>Alice in wonderland</v>
      </c>
      <c r="F2907" s="3" t="str">
        <f>"Lewis Carroll ; adapted by Lesley Sims ; illustrated by Mauro Evangelista"</f>
        <v>Lewis Carroll ; adapted by Lesley Sims ; illustrated by Mauro Evangelista</v>
      </c>
      <c r="G2907" s="3" t="str">
        <f>"Usborne"</f>
        <v>Usborne</v>
      </c>
      <c r="H2907" s="2" t="str">
        <f>"2006"</f>
        <v>2006</v>
      </c>
      <c r="I2907" s="2" t="s">
        <v>2</v>
      </c>
    </row>
    <row r="2908" spans="1:9" x14ac:dyDescent="0.3">
      <c r="A2908" s="2">
        <v>2907</v>
      </c>
      <c r="B2908" s="4" t="s">
        <v>40</v>
      </c>
      <c r="C2908" s="3" t="str">
        <f>"TFC000003588"</f>
        <v>TFC000003588</v>
      </c>
      <c r="D2908" s="3" t="str">
        <f>"F800-21-0723-(AR 3.9)"</f>
        <v>F800-21-0723-(AR 3.9)</v>
      </c>
      <c r="E2908" s="3" t="str">
        <f>"(The)spiderwick chronicles. 3, Lucinda's secret"</f>
        <v>(The)spiderwick chronicles. 3, Lucinda's secret</v>
      </c>
      <c r="F2908" s="3" t="str">
        <f>"by Tony DiTerlizzi and Holly Black"</f>
        <v>by Tony DiTerlizzi and Holly Black</v>
      </c>
      <c r="G2908" s="3" t="str">
        <f>"Simon and Schuster Books for Young Readers"</f>
        <v>Simon and Schuster Books for Young Readers</v>
      </c>
      <c r="H2908" s="2" t="str">
        <f>"2013"</f>
        <v>2013</v>
      </c>
      <c r="I2908" s="3" t="str">
        <f>""</f>
        <v/>
      </c>
    </row>
    <row r="2909" spans="1:9" x14ac:dyDescent="0.3">
      <c r="A2909" s="2">
        <v>2908</v>
      </c>
      <c r="B2909" s="4" t="s">
        <v>40</v>
      </c>
      <c r="C2909" s="3" t="str">
        <f>"TFC000001919"</f>
        <v>TFC000001919</v>
      </c>
      <c r="D2909" s="3" t="str">
        <f>"F400-20-2127-(AR 3.9)"</f>
        <v>F400-20-2127-(AR 3.9)</v>
      </c>
      <c r="E2909" s="3" t="str">
        <f>"Clouds"</f>
        <v>Clouds</v>
      </c>
      <c r="F2909" s="3" t="str">
        <f>"by Anne Rockwell ; illustrated by Frane Lessac"</f>
        <v>by Anne Rockwell ; illustrated by Frane Lessac</v>
      </c>
      <c r="G2909" s="3" t="str">
        <f>"HarperCollins:HarperTrophy"</f>
        <v>HarperCollins:HarperTrophy</v>
      </c>
      <c r="H2909" s="2" t="str">
        <f>"2008"</f>
        <v>2008</v>
      </c>
      <c r="I2909" s="3" t="str">
        <f>""</f>
        <v/>
      </c>
    </row>
    <row r="2910" spans="1:9" x14ac:dyDescent="0.3">
      <c r="A2910" s="2">
        <v>2909</v>
      </c>
      <c r="B2910" s="4" t="s">
        <v>40</v>
      </c>
      <c r="C2910" s="3" t="str">
        <f>"TFC000001920"</f>
        <v>TFC000001920</v>
      </c>
      <c r="D2910" s="3" t="str">
        <f>"F400-20-2128-(AR 3.9)"</f>
        <v>F400-20-2128-(AR 3.9)</v>
      </c>
      <c r="E2910" s="3" t="str">
        <f>"Spiders"</f>
        <v>Spiders</v>
      </c>
      <c r="F2910" s="3" t="str">
        <f>"by Gail Gibbons"</f>
        <v>by Gail Gibbons</v>
      </c>
      <c r="G2910" s="3" t="str">
        <f>"Holiday House"</f>
        <v>Holiday House</v>
      </c>
      <c r="H2910" s="2" t="str">
        <f>"2017"</f>
        <v>2017</v>
      </c>
      <c r="I2910" s="3" t="str">
        <f>""</f>
        <v/>
      </c>
    </row>
    <row r="2911" spans="1:9" x14ac:dyDescent="0.3">
      <c r="A2911" s="2">
        <v>2910</v>
      </c>
      <c r="B2911" s="4" t="s">
        <v>40</v>
      </c>
      <c r="C2911" s="3" t="str">
        <f>"TFC000001921"</f>
        <v>TFC000001921</v>
      </c>
      <c r="D2911" s="3" t="str">
        <f>"F800-20-2129-(AR 3.9)"</f>
        <v>F800-20-2129-(AR 3.9)</v>
      </c>
      <c r="E2911" s="3" t="str">
        <f>"Crow Boy"</f>
        <v>Crow Boy</v>
      </c>
      <c r="F2911" s="3" t="str">
        <f>"by Taro Yashima"</f>
        <v>by Taro Yashima</v>
      </c>
      <c r="G2911" s="3" t="str">
        <f>"Puffin Books"</f>
        <v>Puffin Books</v>
      </c>
      <c r="H2911" s="2" t="str">
        <f>"1983"</f>
        <v>1983</v>
      </c>
      <c r="I2911" s="3" t="str">
        <f>""</f>
        <v/>
      </c>
    </row>
    <row r="2912" spans="1:9" x14ac:dyDescent="0.3">
      <c r="A2912" s="2">
        <v>2911</v>
      </c>
      <c r="B2912" s="4" t="s">
        <v>40</v>
      </c>
      <c r="C2912" s="3" t="str">
        <f>"TFC000001924"</f>
        <v>TFC000001924</v>
      </c>
      <c r="D2912" s="3" t="str">
        <f>"F800-20-2132-(AR 3.9)"</f>
        <v>F800-20-2132-(AR 3.9)</v>
      </c>
      <c r="E2912" s="3" t="str">
        <f>"On my way"</f>
        <v>On my way</v>
      </c>
      <c r="F2912" s="3" t="str">
        <f>"written and illustrated by Tomie dePaola"</f>
        <v>written and illustrated by Tomie dePaola</v>
      </c>
      <c r="G2912" s="3" t="str">
        <f>"Puffin Books"</f>
        <v>Puffin Books</v>
      </c>
      <c r="H2912" s="2" t="str">
        <f>"2002"</f>
        <v>2002</v>
      </c>
      <c r="I2912" s="3" t="str">
        <f>""</f>
        <v/>
      </c>
    </row>
    <row r="2913" spans="1:9" x14ac:dyDescent="0.3">
      <c r="A2913" s="2">
        <v>2912</v>
      </c>
      <c r="B2913" s="4" t="s">
        <v>40</v>
      </c>
      <c r="C2913" s="3" t="str">
        <f>"TFC000001925"</f>
        <v>TFC000001925</v>
      </c>
      <c r="D2913" s="3" t="str">
        <f>"F800-20-2133-(AR 3.9)"</f>
        <v>F800-20-2133-(AR 3.9)</v>
      </c>
      <c r="E2913" s="3" t="str">
        <f>"(The)whipping boy"</f>
        <v>(The)whipping boy</v>
      </c>
      <c r="F2913" s="3" t="str">
        <f>"Sid Fleischman ; illustrations by Peter Sis"</f>
        <v>Sid Fleischman ; illustrations by Peter Sis</v>
      </c>
      <c r="G2913" s="3" t="str">
        <f>"Greenwillow Books"</f>
        <v>Greenwillow Books</v>
      </c>
      <c r="H2913" s="2" t="str">
        <f>"2003"</f>
        <v>2003</v>
      </c>
      <c r="I2913" s="3" t="str">
        <f>""</f>
        <v/>
      </c>
    </row>
    <row r="2914" spans="1:9" x14ac:dyDescent="0.3">
      <c r="A2914" s="2">
        <v>2913</v>
      </c>
      <c r="B2914" s="4" t="s">
        <v>40</v>
      </c>
      <c r="C2914" s="3" t="str">
        <f>"TFC000001927"</f>
        <v>TFC000001927</v>
      </c>
      <c r="D2914" s="3" t="str">
        <f>"F800-20-2135-(AR 3.9)"</f>
        <v>F800-20-2135-(AR 3.9)</v>
      </c>
      <c r="E2914" s="3" t="str">
        <f>"(A)book about your skeleton"</f>
        <v>(A)book about your skeleton</v>
      </c>
      <c r="F2914" s="3" t="str">
        <f>"by Ruth Belov Gross ; illustrated by Steve Bjo?rkman"</f>
        <v>by Ruth Belov Gross ; illustrated by Steve Bjo?rkman</v>
      </c>
      <c r="G2914" s="3" t="str">
        <f>"Scholastic"</f>
        <v>Scholastic</v>
      </c>
      <c r="H2914" s="2" t="str">
        <f>"1994"</f>
        <v>1994</v>
      </c>
      <c r="I2914" s="3" t="str">
        <f>""</f>
        <v/>
      </c>
    </row>
    <row r="2915" spans="1:9" x14ac:dyDescent="0.3">
      <c r="A2915" s="2">
        <v>2914</v>
      </c>
      <c r="B2915" s="4" t="s">
        <v>40</v>
      </c>
      <c r="C2915" s="3" t="str">
        <f>"TFC000001928"</f>
        <v>TFC000001928</v>
      </c>
      <c r="D2915" s="3" t="str">
        <f>"F800-20-2136-(AR 3.9)"</f>
        <v>F800-20-2136-(AR 3.9)</v>
      </c>
      <c r="E2915" s="3" t="str">
        <f>"Jane on her own : a catwings tale"</f>
        <v>Jane on her own : a catwings tale</v>
      </c>
      <c r="F2915" s="3" t="str">
        <f>"by Ursula K. Le Guin ; illustrations by S.D. Schindler"</f>
        <v>by Ursula K. Le Guin ; illustrations by S.D. Schindler</v>
      </c>
      <c r="G2915" s="3" t="str">
        <f>"Orchard Books"</f>
        <v>Orchard Books</v>
      </c>
      <c r="H2915" s="2" t="str">
        <f>"1999"</f>
        <v>1999</v>
      </c>
      <c r="I2915" s="3" t="str">
        <f>""</f>
        <v/>
      </c>
    </row>
    <row r="2916" spans="1:9" x14ac:dyDescent="0.3">
      <c r="A2916" s="2">
        <v>2915</v>
      </c>
      <c r="B2916" s="4" t="s">
        <v>40</v>
      </c>
      <c r="C2916" s="3" t="str">
        <f>"TFC000001929"</f>
        <v>TFC000001929</v>
      </c>
      <c r="D2916" s="3" t="str">
        <f>"F800-20-2137-(AR 3.9)"</f>
        <v>F800-20-2137-(AR 3.9)</v>
      </c>
      <c r="E2916" s="3" t="str">
        <f>"Somebody loves you, Mr. Hatch"</f>
        <v>Somebody loves you, Mr. Hatch</v>
      </c>
      <c r="F2916" s="3" t="str">
        <f>"by Eileen Spinelli ; pictures by Paul Yalowitz"</f>
        <v>by Eileen Spinelli ; pictures by Paul Yalowitz</v>
      </c>
      <c r="G2916" s="3" t="str">
        <f>"Simon &amp; Schuster Books for Young Readers"</f>
        <v>Simon &amp; Schuster Books for Young Readers</v>
      </c>
      <c r="H2916" s="2" t="str">
        <f>"1996"</f>
        <v>1996</v>
      </c>
      <c r="I2916" s="3" t="str">
        <f>""</f>
        <v/>
      </c>
    </row>
    <row r="2917" spans="1:9" x14ac:dyDescent="0.3">
      <c r="A2917" s="2">
        <v>2916</v>
      </c>
      <c r="B2917" s="4" t="s">
        <v>40</v>
      </c>
      <c r="C2917" s="3" t="str">
        <f>"TFC000001930"</f>
        <v>TFC000001930</v>
      </c>
      <c r="D2917" s="3" t="str">
        <f>"F800-20-2138-(AR 3.9)"</f>
        <v>F800-20-2138-(AR 3.9)</v>
      </c>
      <c r="E2917" s="3" t="str">
        <f>"(The)boxcar children"</f>
        <v>(The)boxcar children</v>
      </c>
      <c r="F2917" s="3" t="str">
        <f>"by Gertrude Chandler Warner ; illustrated by L. Kate Deal"</f>
        <v>by Gertrude Chandler Warner ; illustrated by L. Kate Deal</v>
      </c>
      <c r="G2917" s="3" t="str">
        <f>"Scholastic"</f>
        <v>Scholastic</v>
      </c>
      <c r="H2917" s="2" t="str">
        <f>"1977"</f>
        <v>1977</v>
      </c>
      <c r="I2917" s="3" t="str">
        <f>""</f>
        <v/>
      </c>
    </row>
    <row r="2918" spans="1:9" x14ac:dyDescent="0.3">
      <c r="A2918" s="2">
        <v>2917</v>
      </c>
      <c r="B2918" s="4" t="s">
        <v>40</v>
      </c>
      <c r="C2918" s="3" t="str">
        <f>"TFC000001931"</f>
        <v>TFC000001931</v>
      </c>
      <c r="D2918" s="3" t="str">
        <f>"F800-20-2139-(AR 3.9)"</f>
        <v>F800-20-2139-(AR 3.9)</v>
      </c>
      <c r="E2918" s="3" t="str">
        <f>"(The)mystery of the circus clown"</f>
        <v>(The)mystery of the circus clown</v>
      </c>
      <c r="F2918" s="3" t="str">
        <f>"by David A. Adler ; illustrated by Susanna Natti"</f>
        <v>by David A. Adler ; illustrated by Susanna Natti</v>
      </c>
      <c r="G2918" s="3" t="str">
        <f>"Puffin Books"</f>
        <v>Puffin Books</v>
      </c>
      <c r="H2918" s="2" t="str">
        <f>"2004"</f>
        <v>2004</v>
      </c>
      <c r="I2918" s="3" t="str">
        <f>""</f>
        <v/>
      </c>
    </row>
    <row r="2919" spans="1:9" x14ac:dyDescent="0.3">
      <c r="A2919" s="2">
        <v>2918</v>
      </c>
      <c r="B2919" s="4" t="s">
        <v>40</v>
      </c>
      <c r="C2919" s="3" t="str">
        <f>"TFC000001932"</f>
        <v>TFC000001932</v>
      </c>
      <c r="D2919" s="3" t="str">
        <f>"F800-20-2140-(AR 3.9)"</f>
        <v>F800-20-2140-(AR 3.9)</v>
      </c>
      <c r="E2919" s="3" t="str">
        <f>"(The)mystery of the monster movie"</f>
        <v>(The)mystery of the monster movie</v>
      </c>
      <c r="F2919" s="3" t="str">
        <f>"by David A. Adler ; illustrated by Susanna Natti"</f>
        <v>by David A. Adler ; illustrated by Susanna Natti</v>
      </c>
      <c r="G2919" s="3" t="str">
        <f>"Puffin Books"</f>
        <v>Puffin Books</v>
      </c>
      <c r="H2919" s="2" t="str">
        <f>"2004"</f>
        <v>2004</v>
      </c>
      <c r="I2919" s="3" t="str">
        <f>""</f>
        <v/>
      </c>
    </row>
    <row r="2920" spans="1:9" x14ac:dyDescent="0.3">
      <c r="A2920" s="2">
        <v>2919</v>
      </c>
      <c r="B2920" s="4" t="s">
        <v>40</v>
      </c>
      <c r="C2920" s="3" t="str">
        <f>"TFC000001933"</f>
        <v>TFC000001933</v>
      </c>
      <c r="D2920" s="3" t="str">
        <f>"F800-20-2141-(AR 3.9)"</f>
        <v>F800-20-2141-(AR 3.9)</v>
      </c>
      <c r="E2920" s="3" t="str">
        <f>"Ruby and the booker boys. 2, Trivia queen, 3rd-grade supreme"</f>
        <v>Ruby and the booker boys. 2, Trivia queen, 3rd-grade supreme</v>
      </c>
      <c r="F2920" s="3" t="str">
        <f>"by Derrick Barnes ; illustrated by Vanessa Brantley Newton"</f>
        <v>by Derrick Barnes ; illustrated by Vanessa Brantley Newton</v>
      </c>
      <c r="G2920" s="3" t="str">
        <f>"Scholastic"</f>
        <v>Scholastic</v>
      </c>
      <c r="H2920" s="2" t="str">
        <f>"2018"</f>
        <v>2018</v>
      </c>
      <c r="I2920" s="3" t="str">
        <f>""</f>
        <v/>
      </c>
    </row>
    <row r="2921" spans="1:9" x14ac:dyDescent="0.3">
      <c r="A2921" s="2">
        <v>2920</v>
      </c>
      <c r="B2921" s="4" t="s">
        <v>40</v>
      </c>
      <c r="C2921" s="3" t="str">
        <f>"TFC000001934"</f>
        <v>TFC000001934</v>
      </c>
      <c r="D2921" s="3" t="str">
        <f>"F800-20-2142-(AR 3.9)"</f>
        <v>F800-20-2142-(AR 3.9)</v>
      </c>
      <c r="E2921" s="3" t="str">
        <f>"Ruby and the booker boys. 4, Ruby flips for attention"</f>
        <v>Ruby and the booker boys. 4, Ruby flips for attention</v>
      </c>
      <c r="F2921" s="3" t="str">
        <f>"by Derrick Barnes ; illustrated by Vanessa Brantley Newton"</f>
        <v>by Derrick Barnes ; illustrated by Vanessa Brantley Newton</v>
      </c>
      <c r="G2921" s="3" t="str">
        <f>"Scholastic"</f>
        <v>Scholastic</v>
      </c>
      <c r="H2921" s="2" t="str">
        <f>"2009"</f>
        <v>2009</v>
      </c>
      <c r="I2921" s="3" t="str">
        <f>""</f>
        <v/>
      </c>
    </row>
    <row r="2922" spans="1:9" x14ac:dyDescent="0.3">
      <c r="A2922" s="2">
        <v>2921</v>
      </c>
      <c r="B2922" s="4" t="s">
        <v>40</v>
      </c>
      <c r="C2922" s="3" t="str">
        <f>"TFC000001935"</f>
        <v>TFC000001935</v>
      </c>
      <c r="D2922" s="3" t="str">
        <f>"F800-20-2143-(AR 3.9)"</f>
        <v>F800-20-2143-(AR 3.9)</v>
      </c>
      <c r="E2922" s="3" t="str">
        <f>"Stanley in space"</f>
        <v>Stanley in space</v>
      </c>
      <c r="F2922" s="3" t="str">
        <f>"by Jeff Brown ; pictures by Macky Pamintuan"</f>
        <v>by Jeff Brown ; pictures by Macky Pamintuan</v>
      </c>
      <c r="G2922" s="3" t="str">
        <f>"Harper"</f>
        <v>Harper</v>
      </c>
      <c r="H2922" s="2" t="str">
        <f>"2010"</f>
        <v>2010</v>
      </c>
      <c r="I2922" s="3" t="str">
        <f>""</f>
        <v/>
      </c>
    </row>
    <row r="2923" spans="1:9" x14ac:dyDescent="0.3">
      <c r="A2923" s="2">
        <v>2922</v>
      </c>
      <c r="B2923" s="4" t="s">
        <v>40</v>
      </c>
      <c r="C2923" s="3" t="str">
        <f>"TFC000001936"</f>
        <v>TFC000001936</v>
      </c>
      <c r="D2923" s="3" t="str">
        <f>"F800-20-2144-(AR 3.9)"</f>
        <v>F800-20-2144-(AR 3.9)</v>
      </c>
      <c r="E2923" s="3" t="str">
        <f>"Beach"</f>
        <v>Beach</v>
      </c>
      <c r="F2923" s="3" t="str">
        <f>"Elisha Cooper"</f>
        <v>Elisha Cooper</v>
      </c>
      <c r="G2923" s="3" t="str">
        <f>"Scholastic"</f>
        <v>Scholastic</v>
      </c>
      <c r="H2923" s="2" t="str">
        <f>"2006"</f>
        <v>2006</v>
      </c>
      <c r="I2923" s="3" t="str">
        <f>""</f>
        <v/>
      </c>
    </row>
    <row r="2924" spans="1:9" x14ac:dyDescent="0.3">
      <c r="A2924" s="2">
        <v>2923</v>
      </c>
      <c r="B2924" s="4" t="s">
        <v>40</v>
      </c>
      <c r="C2924" s="3" t="str">
        <f>"TFC000001937"</f>
        <v>TFC000001937</v>
      </c>
      <c r="D2924" s="3" t="str">
        <f>"F800-20-2145-(AR 3.9)"</f>
        <v>F800-20-2145-(AR 3.9)</v>
      </c>
      <c r="E2924" s="3" t="str">
        <f>"Mystery mansion"</f>
        <v>Mystery mansion</v>
      </c>
      <c r="F2924" s="3" t="str">
        <f>"Phil Roxbee Cox ; adapted by Jane Bingham ; illustrated by Sue Hellard"</f>
        <v>Phil Roxbee Cox ; adapted by Jane Bingham ; illustrated by Sue Hellard</v>
      </c>
      <c r="G2924" s="3" t="str">
        <f>"Usborne"</f>
        <v>Usborne</v>
      </c>
      <c r="H2924" s="2" t="str">
        <f>"2006"</f>
        <v>2006</v>
      </c>
      <c r="I2924" s="3" t="str">
        <f>""</f>
        <v/>
      </c>
    </row>
    <row r="2925" spans="1:9" x14ac:dyDescent="0.3">
      <c r="A2925" s="2">
        <v>2924</v>
      </c>
      <c r="B2925" s="4" t="s">
        <v>40</v>
      </c>
      <c r="C2925" s="3" t="str">
        <f>"TFC000001938"</f>
        <v>TFC000001938</v>
      </c>
      <c r="D2925" s="3" t="str">
        <f>"F800-20-2146-(AR 3.9)"</f>
        <v>F800-20-2146-(AR 3.9)</v>
      </c>
      <c r="E2925" s="3" t="str">
        <f>"(The)Uncorker of ocean bottles"</f>
        <v>(The)Uncorker of ocean bottles</v>
      </c>
      <c r="F2925" s="3" t="str">
        <f>"written by Michelle Cuevas ; illustrated by Erin Stead"</f>
        <v>written by Michelle Cuevas ; illustrated by Erin Stead</v>
      </c>
      <c r="G2925" s="3" t="str">
        <f>"Dial Books for Young Readers"</f>
        <v>Dial Books for Young Readers</v>
      </c>
      <c r="H2925" s="2" t="str">
        <f>"2016"</f>
        <v>2016</v>
      </c>
      <c r="I2925" s="3" t="str">
        <f>""</f>
        <v/>
      </c>
    </row>
    <row r="2926" spans="1:9" x14ac:dyDescent="0.3">
      <c r="A2926" s="2">
        <v>2925</v>
      </c>
      <c r="B2926" s="4" t="s">
        <v>40</v>
      </c>
      <c r="C2926" s="3" t="str">
        <f>"TFC000001939"</f>
        <v>TFC000001939</v>
      </c>
      <c r="D2926" s="3" t="str">
        <f>"F800-20-2147-(AR 3.9)"</f>
        <v>F800-20-2147-(AR 3.9)</v>
      </c>
      <c r="E2926" s="3" t="str">
        <f>"(The)courage of Sarah Noble"</f>
        <v>(The)courage of Sarah Noble</v>
      </c>
      <c r="F2926" s="3" t="str">
        <f>"by Alice Dalgliesh ; illustrated by Leonard Weisgard"</f>
        <v>by Alice Dalgliesh ; illustrated by Leonard Weisgard</v>
      </c>
      <c r="G2926" s="3" t="str">
        <f>"Aladdin Paperbacks"</f>
        <v>Aladdin Paperbacks</v>
      </c>
      <c r="H2926" s="2" t="str">
        <f>"2000"</f>
        <v>2000</v>
      </c>
      <c r="I2926" s="3" t="str">
        <f>""</f>
        <v/>
      </c>
    </row>
    <row r="2927" spans="1:9" x14ac:dyDescent="0.3">
      <c r="A2927" s="2">
        <v>2926</v>
      </c>
      <c r="B2927" s="4" t="s">
        <v>40</v>
      </c>
      <c r="C2927" s="3" t="str">
        <f>"TFC000001940"</f>
        <v>TFC000001940</v>
      </c>
      <c r="D2927" s="3" t="str">
        <f>"F800-20-2148-(AR 3.9)"</f>
        <v>F800-20-2148-(AR 3.9)</v>
      </c>
      <c r="E2927" s="3" t="str">
        <f>"Because of winn-dixie"</f>
        <v>Because of winn-dixie</v>
      </c>
      <c r="F2927" s="3" t="str">
        <f>"Kate DiCamillo"</f>
        <v>Kate DiCamillo</v>
      </c>
      <c r="G2927" s="3" t="str">
        <f>"Candlewick Press"</f>
        <v>Candlewick Press</v>
      </c>
      <c r="H2927" s="2" t="str">
        <f>"2015"</f>
        <v>2015</v>
      </c>
      <c r="I2927" s="3" t="str">
        <f>""</f>
        <v/>
      </c>
    </row>
    <row r="2928" spans="1:9" x14ac:dyDescent="0.3">
      <c r="A2928" s="2">
        <v>2927</v>
      </c>
      <c r="B2928" s="4" t="s">
        <v>40</v>
      </c>
      <c r="C2928" s="3" t="str">
        <f>"TFC000001941"</f>
        <v>TFC000001941</v>
      </c>
      <c r="D2928" s="3" t="str">
        <f>"F800-20-2149-(AR 3.9)"</f>
        <v>F800-20-2149-(AR 3.9)</v>
      </c>
      <c r="E2928" s="3" t="str">
        <f>"(The)fabled fourth graders of aesop elementary school"</f>
        <v>(The)fabled fourth graders of aesop elementary school</v>
      </c>
      <c r="F2928" s="3" t="str">
        <f>"Candace Fleming."</f>
        <v>Candace Fleming.</v>
      </c>
      <c r="G2928" s="3" t="str">
        <f>"Yearling Book"</f>
        <v>Yearling Book</v>
      </c>
      <c r="H2928" s="2" t="str">
        <f>"2009"</f>
        <v>2009</v>
      </c>
      <c r="I2928" s="3" t="str">
        <f>""</f>
        <v/>
      </c>
    </row>
    <row r="2929" spans="1:9" x14ac:dyDescent="0.3">
      <c r="A2929" s="2">
        <v>2928</v>
      </c>
      <c r="B2929" s="4" t="s">
        <v>40</v>
      </c>
      <c r="C2929" s="3" t="str">
        <f>"TFC000001946"</f>
        <v>TFC000001946</v>
      </c>
      <c r="D2929" s="3" t="str">
        <f>"F800-20-2154-(AR 3.9)"</f>
        <v>F800-20-2154-(AR 3.9)</v>
      </c>
      <c r="E2929" s="3" t="str">
        <f>"School-tripped"</f>
        <v>School-tripped</v>
      </c>
      <c r="F2929" s="3" t="str">
        <f>"Jennifer L. Holm, Matthew Holm"</f>
        <v>Jennifer L. Holm, Matthew Holm</v>
      </c>
      <c r="G2929" s="3" t="str">
        <f>"Random House"</f>
        <v>Random House</v>
      </c>
      <c r="H2929" s="2" t="str">
        <f>"2019"</f>
        <v>2019</v>
      </c>
      <c r="I2929" s="3" t="str">
        <f>""</f>
        <v/>
      </c>
    </row>
    <row r="2930" spans="1:9" x14ac:dyDescent="0.3">
      <c r="A2930" s="2">
        <v>2929</v>
      </c>
      <c r="B2930" s="4" t="s">
        <v>40</v>
      </c>
      <c r="C2930" s="3" t="str">
        <f>"TFC000001947"</f>
        <v>TFC000001947</v>
      </c>
      <c r="D2930" s="3" t="str">
        <f>"F800-20-2155-(AR 3.9)"</f>
        <v>F800-20-2155-(AR 3.9)</v>
      </c>
      <c r="E2930" s="3" t="str">
        <f>"We can't all be rattlesnakes"</f>
        <v>We can't all be rattlesnakes</v>
      </c>
      <c r="F2930" s="3" t="str">
        <f>"Patrick Jennings"</f>
        <v>Patrick Jennings</v>
      </c>
      <c r="G2930" s="3" t="str">
        <f>"Harper"</f>
        <v>Harper</v>
      </c>
      <c r="H2930" s="2" t="str">
        <f>"2011"</f>
        <v>2011</v>
      </c>
      <c r="I2930" s="3" t="str">
        <f>""</f>
        <v/>
      </c>
    </row>
    <row r="2931" spans="1:9" x14ac:dyDescent="0.3">
      <c r="A2931" s="2">
        <v>2930</v>
      </c>
      <c r="B2931" s="4" t="s">
        <v>40</v>
      </c>
      <c r="C2931" s="3" t="str">
        <f>"TFC000001948"</f>
        <v>TFC000001948</v>
      </c>
      <c r="D2931" s="3" t="str">
        <f>"F800-20-2156-(AR 3.9)"</f>
        <v>F800-20-2156-(AR 3.9)</v>
      </c>
      <c r="E2931" s="3" t="str">
        <f>"Pony problems"</f>
        <v>Pony problems</v>
      </c>
      <c r="F2931" s="3" t="str">
        <f>"by Carolyn Keene ; illustrated by Macky Pamintuan"</f>
        <v>by Carolyn Keene ; illustrated by Macky Pamintuan</v>
      </c>
      <c r="G2931" s="3" t="str">
        <f>"Aladdin Paperbacks"</f>
        <v>Aladdin Paperbacks</v>
      </c>
      <c r="H2931" s="2" t="str">
        <f>"2006"</f>
        <v>2006</v>
      </c>
      <c r="I2931" s="3" t="str">
        <f>""</f>
        <v/>
      </c>
    </row>
    <row r="2932" spans="1:9" x14ac:dyDescent="0.3">
      <c r="A2932" s="2">
        <v>2931</v>
      </c>
      <c r="B2932" s="4" t="s">
        <v>40</v>
      </c>
      <c r="C2932" s="3" t="str">
        <f>"TFC000001949"</f>
        <v>TFC000001949</v>
      </c>
      <c r="D2932" s="3" t="str">
        <f>"F800-20-2157-(AR 3.9)"</f>
        <v>F800-20-2157-(AR 3.9)</v>
      </c>
      <c r="E2932" s="3" t="str">
        <f>"Rules"</f>
        <v>Rules</v>
      </c>
      <c r="F2932" s="3" t="str">
        <f>"by Cynthia Lord"</f>
        <v>by Cynthia Lord</v>
      </c>
      <c r="G2932" s="3" t="str">
        <f>"Scholastic"</f>
        <v>Scholastic</v>
      </c>
      <c r="H2932" s="2" t="str">
        <f>"2018"</f>
        <v>2018</v>
      </c>
      <c r="I2932" s="3" t="str">
        <f>""</f>
        <v/>
      </c>
    </row>
    <row r="2933" spans="1:9" x14ac:dyDescent="0.3">
      <c r="A2933" s="2">
        <v>2932</v>
      </c>
      <c r="B2933" s="4" t="s">
        <v>40</v>
      </c>
      <c r="C2933" s="3" t="str">
        <f>"TFC000001951"</f>
        <v>TFC000001951</v>
      </c>
      <c r="D2933" s="3" t="str">
        <f>"F800-20-2159-(AR 3.9)"</f>
        <v>F800-20-2159-(AR 3.9)</v>
      </c>
      <c r="E2933" s="3" t="str">
        <f>"(The)Hundred penny box"</f>
        <v>(The)Hundred penny box</v>
      </c>
      <c r="F2933" s="3" t="str">
        <f>"by Sharon Bell Mathis ; illustrated by Leo Dillon, Diane Dillon"</f>
        <v>by Sharon Bell Mathis ; illustrated by Leo Dillon, Diane Dillon</v>
      </c>
      <c r="G2933" s="3" t="str">
        <f>"Puffin Books"</f>
        <v>Puffin Books</v>
      </c>
      <c r="H2933" s="2" t="str">
        <f>"2006"</f>
        <v>2006</v>
      </c>
      <c r="I2933" s="3" t="str">
        <f>""</f>
        <v/>
      </c>
    </row>
    <row r="2934" spans="1:9" x14ac:dyDescent="0.3">
      <c r="A2934" s="2">
        <v>2933</v>
      </c>
      <c r="B2934" s="4" t="s">
        <v>40</v>
      </c>
      <c r="C2934" s="3" t="str">
        <f>"TFC000001952"</f>
        <v>TFC000001952</v>
      </c>
      <c r="D2934" s="3" t="str">
        <f>"F800-20-2160-(AR 3.9)"</f>
        <v>F800-20-2160-(AR 3.9)</v>
      </c>
      <c r="E2934" s="3" t="str">
        <f>"Carnival at candlelight"</f>
        <v>Carnival at candlelight</v>
      </c>
      <c r="F2934" s="3" t="str">
        <f>"by Mary Pope Osborne ; illustrated by Sal Murdocca"</f>
        <v>by Mary Pope Osborne ; illustrated by Sal Murdocca</v>
      </c>
      <c r="G2934" s="3" t="str">
        <f>"Random House"</f>
        <v>Random House</v>
      </c>
      <c r="H2934" s="2" t="str">
        <f>"2005"</f>
        <v>2005</v>
      </c>
      <c r="I2934" s="3" t="str">
        <f>""</f>
        <v/>
      </c>
    </row>
    <row r="2935" spans="1:9" x14ac:dyDescent="0.3">
      <c r="A2935" s="2">
        <v>2934</v>
      </c>
      <c r="B2935" s="4" t="s">
        <v>40</v>
      </c>
      <c r="C2935" s="3" t="str">
        <f>"TFC000001954"</f>
        <v>TFC000001954</v>
      </c>
      <c r="D2935" s="3" t="str">
        <f>"F800-20-2162-(AR 3.9)"</f>
        <v>F800-20-2162-(AR 3.9)</v>
      </c>
      <c r="E2935" s="3" t="str">
        <f>"(The)kid in the red jacket"</f>
        <v>(The)kid in the red jacket</v>
      </c>
      <c r="F2935" s="3" t="str">
        <f>"by Barbara Park"</f>
        <v>by Barbara Park</v>
      </c>
      <c r="G2935" s="3" t="str">
        <f>"Yearling Book"</f>
        <v>Yearling Book</v>
      </c>
      <c r="H2935" s="2" t="str">
        <f>"2016"</f>
        <v>2016</v>
      </c>
      <c r="I2935" s="3" t="str">
        <f>""</f>
        <v/>
      </c>
    </row>
    <row r="2936" spans="1:9" x14ac:dyDescent="0.3">
      <c r="A2936" s="2">
        <v>2935</v>
      </c>
      <c r="B2936" s="4" t="s">
        <v>40</v>
      </c>
      <c r="C2936" s="3" t="str">
        <f>"TFC000001955"</f>
        <v>TFC000001955</v>
      </c>
      <c r="D2936" s="3" t="str">
        <f>"F800-20-2163-(AR 3.9)"</f>
        <v>F800-20-2163-(AR 3.9)</v>
      </c>
      <c r="E2936" s="3" t="str">
        <f>"Ricky Ricotta's mighty robot vs the naughty nightcrawlers from neptune"</f>
        <v>Ricky Ricotta's mighty robot vs the naughty nightcrawlers from neptune</v>
      </c>
      <c r="F2936" s="3" t="str">
        <f>"story by Dav Pilkey ; art by Dan Santat"</f>
        <v>story by Dav Pilkey ; art by Dan Santat</v>
      </c>
      <c r="G2936" s="3" t="str">
        <f>"Scholastic"</f>
        <v>Scholastic</v>
      </c>
      <c r="H2936" s="2" t="str">
        <f>"2016"</f>
        <v>2016</v>
      </c>
      <c r="I2936" s="3" t="str">
        <f>""</f>
        <v/>
      </c>
    </row>
    <row r="2937" spans="1:9" x14ac:dyDescent="0.3">
      <c r="A2937" s="2">
        <v>2936</v>
      </c>
      <c r="B2937" s="4" t="s">
        <v>40</v>
      </c>
      <c r="C2937" s="3" t="str">
        <f>"TFC000001956"</f>
        <v>TFC000001956</v>
      </c>
      <c r="D2937" s="3" t="str">
        <f>"F800-20-2164-(AR 3.9)"</f>
        <v>F800-20-2164-(AR 3.9)</v>
      </c>
      <c r="E2937" s="3" t="str">
        <f>"(The)Lemonade Club"</f>
        <v>(The)Lemonade Club</v>
      </c>
      <c r="F2937" s="3" t="str">
        <f>"Patricia Polacco"</f>
        <v>Patricia Polacco</v>
      </c>
      <c r="G2937" s="3" t="str">
        <f>"Philomel Books"</f>
        <v>Philomel Books</v>
      </c>
      <c r="H2937" s="2" t="str">
        <f>"2007"</f>
        <v>2007</v>
      </c>
      <c r="I2937" s="3" t="str">
        <f>""</f>
        <v/>
      </c>
    </row>
    <row r="2938" spans="1:9" x14ac:dyDescent="0.3">
      <c r="A2938" s="2">
        <v>2937</v>
      </c>
      <c r="B2938" s="4" t="s">
        <v>40</v>
      </c>
      <c r="C2938" s="3" t="str">
        <f>"TFC000001957"</f>
        <v>TFC000001957</v>
      </c>
      <c r="D2938" s="3" t="str">
        <f>"F800-20-2165-(AR 3.9)"</f>
        <v>F800-20-2165-(AR 3.9)</v>
      </c>
      <c r="E2938" s="3" t="str">
        <f>"(The)Yellow yacht"</f>
        <v>(The)Yellow yacht</v>
      </c>
      <c r="F2938" s="3" t="str">
        <f>"by Ron Roy ; illustrated by John Steven Gurney"</f>
        <v>by Ron Roy ; illustrated by John Steven Gurney</v>
      </c>
      <c r="G2938" s="3" t="str">
        <f>"Random House"</f>
        <v>Random House</v>
      </c>
      <c r="H2938" s="2" t="str">
        <f>"2015"</f>
        <v>2015</v>
      </c>
      <c r="I2938" s="3" t="str">
        <f>""</f>
        <v/>
      </c>
    </row>
    <row r="2939" spans="1:9" x14ac:dyDescent="0.3">
      <c r="A2939" s="2">
        <v>2938</v>
      </c>
      <c r="B2939" s="4" t="s">
        <v>40</v>
      </c>
      <c r="C2939" s="3" t="str">
        <f>"TFC000002970"</f>
        <v>TFC000002970</v>
      </c>
      <c r="D2939" s="3" t="str">
        <f>"F800-20-2183-(AR 3.9)"</f>
        <v>F800-20-2183-(AR 3.9)</v>
      </c>
      <c r="E2939" s="3" t="str">
        <f>"(The)mitten : a Ukrainian folktale"</f>
        <v>(The)mitten : a Ukrainian folktale</v>
      </c>
      <c r="F2939" s="3" t="str">
        <f>"Jan Brett"</f>
        <v>Jan Brett</v>
      </c>
      <c r="G2939" s="3" t="str">
        <f>"G. P. Putnam's Sons"</f>
        <v>G. P. Putnam's Sons</v>
      </c>
      <c r="H2939" s="2" t="str">
        <f>"1989"</f>
        <v>1989</v>
      </c>
      <c r="I2939" s="3" t="str">
        <f>""</f>
        <v/>
      </c>
    </row>
    <row r="2940" spans="1:9" x14ac:dyDescent="0.3">
      <c r="A2940" s="2">
        <v>2939</v>
      </c>
      <c r="B2940" s="4" t="s">
        <v>40</v>
      </c>
      <c r="C2940" s="3" t="str">
        <f>"TFC000003030"</f>
        <v>TFC000003030</v>
      </c>
      <c r="D2940" s="3" t="str">
        <f>"F800-20-2184-(AR 3.9)"</f>
        <v>F800-20-2184-(AR 3.9)</v>
      </c>
      <c r="E2940" s="3" t="str">
        <f>"(The)long ride"</f>
        <v>(The)long ride</v>
      </c>
      <c r="F2940" s="3" t="str">
        <f>"Marina Budhos"</f>
        <v>Marina Budhos</v>
      </c>
      <c r="G2940" s="3" t="str">
        <f>"Wendy Lamb Books"</f>
        <v>Wendy Lamb Books</v>
      </c>
      <c r="H2940" s="2" t="str">
        <f>"2019"</f>
        <v>2019</v>
      </c>
      <c r="I2940" s="3" t="str">
        <f>""</f>
        <v/>
      </c>
    </row>
    <row r="2941" spans="1:9" x14ac:dyDescent="0.3">
      <c r="A2941" s="2">
        <v>2940</v>
      </c>
      <c r="B2941" s="4" t="s">
        <v>40</v>
      </c>
      <c r="C2941" s="3" t="str">
        <f>"TFC000003203"</f>
        <v>TFC000003203</v>
      </c>
      <c r="D2941" s="3" t="str">
        <f>"F400-21-0717-(AR 3.9)"</f>
        <v>F400-21-0717-(AR 3.9)</v>
      </c>
      <c r="E2941" s="3" t="str">
        <f>"Inside a beehive"</f>
        <v>Inside a beehive</v>
      </c>
      <c r="F2941" s="3" t="str">
        <f>"by Joanna Cole ; illustrated by Bruce Degen"</f>
        <v>by Joanna Cole ; illustrated by Bruce Degen</v>
      </c>
      <c r="G2941" s="3" t="str">
        <f>"Scholastic"</f>
        <v>Scholastic</v>
      </c>
      <c r="H2941" s="2" t="str">
        <f>"1998"</f>
        <v>1998</v>
      </c>
      <c r="I2941" s="3" t="str">
        <f>""</f>
        <v/>
      </c>
    </row>
    <row r="2942" spans="1:9" x14ac:dyDescent="0.3">
      <c r="A2942" s="2">
        <v>2941</v>
      </c>
      <c r="B2942" s="4" t="s">
        <v>40</v>
      </c>
      <c r="C2942" s="3" t="str">
        <f>"TFC000003386"</f>
        <v>TFC000003386</v>
      </c>
      <c r="D2942" s="3" t="str">
        <f>"F500-21-0719-(AR 3.9)"</f>
        <v>F500-21-0719-(AR 3.9)</v>
      </c>
      <c r="E2942" s="3" t="str">
        <f>"How can I help during COVID-19?"</f>
        <v>How can I help during COVID-19?</v>
      </c>
      <c r="F2942" s="3" t="str">
        <f>"by Emily Dolbear"</f>
        <v>by Emily Dolbear</v>
      </c>
      <c r="G2942" s="3" t="str">
        <f>"The Child's World"</f>
        <v>The Child's World</v>
      </c>
      <c r="H2942" s="2" t="str">
        <f>"2021"</f>
        <v>2021</v>
      </c>
      <c r="I2942" s="3" t="str">
        <f>""</f>
        <v/>
      </c>
    </row>
    <row r="2943" spans="1:9" x14ac:dyDescent="0.3">
      <c r="A2943" s="2">
        <v>2942</v>
      </c>
      <c r="B2943" s="4" t="s">
        <v>40</v>
      </c>
      <c r="C2943" s="3" t="str">
        <f>"TFC000003387"</f>
        <v>TFC000003387</v>
      </c>
      <c r="D2943" s="3" t="str">
        <f>"F600-21-0721-(AR 3.9)"</f>
        <v>F600-21-0721-(AR 3.9)</v>
      </c>
      <c r="E2943" s="3" t="str">
        <f>"Rock climbing"</f>
        <v>Rock climbing</v>
      </c>
      <c r="F2943" s="3" t="str">
        <f>"by Marie-Therese Miller"</f>
        <v>by Marie-Therese Miller</v>
      </c>
      <c r="G2943" s="3" t="str">
        <f>"DiscoverRoo"</f>
        <v>DiscoverRoo</v>
      </c>
      <c r="H2943" s="2" t="str">
        <f>"2021"</f>
        <v>2021</v>
      </c>
      <c r="I2943" s="3" t="str">
        <f>""</f>
        <v/>
      </c>
    </row>
    <row r="2944" spans="1:9" x14ac:dyDescent="0.3">
      <c r="A2944" s="2">
        <v>2943</v>
      </c>
      <c r="B2944" s="4" t="s">
        <v>40</v>
      </c>
      <c r="C2944" s="3" t="str">
        <f>"TFC000003388"</f>
        <v>TFC000003388</v>
      </c>
      <c r="D2944" s="3" t="str">
        <f>"F500-21-0720-(AR 3.9)"</f>
        <v>F500-21-0720-(AR 3.9)</v>
      </c>
      <c r="E2944" s="3" t="str">
        <f>"What if I'm worried about COVID-19?"</f>
        <v>What if I'm worried about COVID-19?</v>
      </c>
      <c r="F2944" s="3" t="str">
        <f>"by Emily Dolbear"</f>
        <v>by Emily Dolbear</v>
      </c>
      <c r="G2944" s="3" t="str">
        <f>"The Child's World"</f>
        <v>The Child's World</v>
      </c>
      <c r="H2944" s="2" t="str">
        <f>"2021"</f>
        <v>2021</v>
      </c>
      <c r="I2944" s="3" t="str">
        <f>""</f>
        <v/>
      </c>
    </row>
    <row r="2945" spans="1:9" x14ac:dyDescent="0.3">
      <c r="A2945" s="2">
        <v>2944</v>
      </c>
      <c r="B2945" s="4" t="s">
        <v>40</v>
      </c>
      <c r="C2945" s="3" t="str">
        <f>"TFC000004065"</f>
        <v>TFC000004065</v>
      </c>
      <c r="D2945" s="3" t="str">
        <f>"F800-21-0730-(AR 3.9)"</f>
        <v>F800-21-0730-(AR 3.9)</v>
      </c>
      <c r="E2945" s="3" t="str">
        <f>"(The)Summer We Found the Baby"</f>
        <v>(The)Summer We Found the Baby</v>
      </c>
      <c r="F2945" s="3" t="str">
        <f>"by Amy Hest"</f>
        <v>by Amy Hest</v>
      </c>
      <c r="G2945" s="3" t="str">
        <f>"Candlewick Press"</f>
        <v>Candlewick Press</v>
      </c>
      <c r="H2945" s="2" t="str">
        <f>"2020"</f>
        <v>2020</v>
      </c>
      <c r="I2945" s="3" t="str">
        <f>""</f>
        <v/>
      </c>
    </row>
    <row r="2946" spans="1:9" x14ac:dyDescent="0.3">
      <c r="A2946" s="2">
        <v>2945</v>
      </c>
      <c r="B2946" s="4" t="s">
        <v>40</v>
      </c>
      <c r="C2946" s="3" t="str">
        <f>"TFC000003521"</f>
        <v>TFC000003521</v>
      </c>
      <c r="D2946" s="3" t="str">
        <f>"F800-21-0722-(AR 3.9)"</f>
        <v>F800-21-0722-(AR 3.9)</v>
      </c>
      <c r="E2946" s="3" t="str">
        <f>"Isadora Moon goes to the ballet"</f>
        <v>Isadora Moon goes to the ballet</v>
      </c>
      <c r="F2946" s="3" t="str">
        <f>"by Harriet Muncaster"</f>
        <v>by Harriet Muncaster</v>
      </c>
      <c r="G2946" s="3" t="str">
        <f>"Random House"</f>
        <v>Random House</v>
      </c>
      <c r="H2946" s="2" t="str">
        <f>"2016"</f>
        <v>2016</v>
      </c>
      <c r="I2946" s="3" t="str">
        <f>""</f>
        <v/>
      </c>
    </row>
    <row r="2947" spans="1:9" x14ac:dyDescent="0.3">
      <c r="A2947" s="2">
        <v>2946</v>
      </c>
      <c r="B2947" s="4" t="s">
        <v>40</v>
      </c>
      <c r="C2947" s="3" t="str">
        <f>"TFC000003838"</f>
        <v>TFC000003838</v>
      </c>
      <c r="D2947" s="3" t="str">
        <f>"F800-21-0727-(AR 3.9)"</f>
        <v>F800-21-0727-(AR 3.9)</v>
      </c>
      <c r="E2947" s="3" t="str">
        <f>"Stella Endicott and the Anything-Is-Possible Poem"</f>
        <v>Stella Endicott and the Anything-Is-Possible Poem</v>
      </c>
      <c r="F2947" s="3" t="str">
        <f>"text by Kate DiCamillo, illustrated by Chris Van Dusen"</f>
        <v>text by Kate DiCamillo, illustrated by Chris Van Dusen</v>
      </c>
      <c r="G2947" s="3" t="str">
        <f>"Candlewick Press"</f>
        <v>Candlewick Press</v>
      </c>
      <c r="H2947" s="2" t="str">
        <f>"2021"</f>
        <v>2021</v>
      </c>
      <c r="I2947" s="3" t="str">
        <f>""</f>
        <v/>
      </c>
    </row>
    <row r="2948" spans="1:9" x14ac:dyDescent="0.3">
      <c r="A2948" s="2">
        <v>2947</v>
      </c>
      <c r="B2948" s="4" t="s">
        <v>40</v>
      </c>
      <c r="C2948" s="3" t="str">
        <f>"TFC000003943"</f>
        <v>TFC000003943</v>
      </c>
      <c r="D2948" s="3" t="str">
        <f>"F800-21-0729-(AR 3.9)"</f>
        <v>F800-21-0729-(AR 3.9)</v>
      </c>
      <c r="E2948" s="3" t="str">
        <f>"Wayside school beneath the cloud of doom"</f>
        <v>Wayside school beneath the cloud of doom</v>
      </c>
      <c r="F2948" s="3" t="str">
        <f>"by Louis Sachar, illustrated by Tim Heitz"</f>
        <v>by Louis Sachar, illustrated by Tim Heitz</v>
      </c>
      <c r="G2948" s="3" t="str">
        <f>"Harper"</f>
        <v>Harper</v>
      </c>
      <c r="H2948" s="2" t="str">
        <f>"2020"</f>
        <v>2020</v>
      </c>
      <c r="I2948" s="3" t="str">
        <f>""</f>
        <v/>
      </c>
    </row>
    <row r="2949" spans="1:9" x14ac:dyDescent="0.3">
      <c r="A2949" s="2">
        <v>2948</v>
      </c>
      <c r="B2949" s="4" t="s">
        <v>40</v>
      </c>
      <c r="C2949" s="3" t="str">
        <f>"TFC000004192"</f>
        <v>TFC000004192</v>
      </c>
      <c r="D2949" s="3" t="str">
        <f>"F800-21-0732-(AR 3.9)"</f>
        <v>F800-21-0732-(AR 3.9)</v>
      </c>
      <c r="E2949" s="3" t="str">
        <f>"The Littlest Christmas Tree"</f>
        <v>The Littlest Christmas Tree</v>
      </c>
      <c r="F2949" s="3" t="str">
        <f>"by R. A. Herman, Jacqueline Rogers, R. a. Herman"</f>
        <v>by R. A. Herman, Jacqueline Rogers, R. a. Herman</v>
      </c>
      <c r="G2949" s="3" t="str">
        <f>"Cartwheel Books"</f>
        <v>Cartwheel Books</v>
      </c>
      <c r="H2949" s="2" t="str">
        <f>"2007"</f>
        <v>2007</v>
      </c>
      <c r="I2949" s="3" t="str">
        <f>""</f>
        <v/>
      </c>
    </row>
    <row r="2950" spans="1:9" x14ac:dyDescent="0.3">
      <c r="A2950" s="2">
        <v>2949</v>
      </c>
      <c r="B2950" s="4" t="s">
        <v>40</v>
      </c>
      <c r="C2950" s="3" t="str">
        <f>"TFC000004223"</f>
        <v>TFC000004223</v>
      </c>
      <c r="D2950" s="3" t="str">
        <f>"F800-22-0058-(AR 3.9)"</f>
        <v>F800-22-0058-(AR 3.9)</v>
      </c>
      <c r="E2950" s="3" t="str">
        <f>"Operation orca"</f>
        <v>Operation orca</v>
      </c>
      <c r="F2950" s="3" t="str">
        <f>"by Ron Roy, Illustrated by John Steven Gurney"</f>
        <v>by Ron Roy, Illustrated by John Steven Gurney</v>
      </c>
      <c r="G2950" s="3" t="str">
        <f>"Random House"</f>
        <v>Random House</v>
      </c>
      <c r="H2950" s="2" t="str">
        <f>"2015"</f>
        <v>2015</v>
      </c>
      <c r="I2950" s="3" t="str">
        <f>""</f>
        <v/>
      </c>
    </row>
    <row r="2951" spans="1:9" x14ac:dyDescent="0.3">
      <c r="A2951" s="2">
        <v>2950</v>
      </c>
      <c r="B2951" s="4" t="s">
        <v>40</v>
      </c>
      <c r="C2951" s="3" t="str">
        <f>"TFC000004227"</f>
        <v>TFC000004227</v>
      </c>
      <c r="D2951" s="3" t="str">
        <f>"F800-22-0061-(AR 3.9)"</f>
        <v>F800-22-0061-(AR 3.9)</v>
      </c>
      <c r="E2951" s="3" t="str">
        <f>"Grand Canyon Grab"</f>
        <v>Grand Canyon Grab</v>
      </c>
      <c r="F2951" s="3" t="str">
        <f>"by Ron Roy, illustrated by John Steven Gurney"</f>
        <v>by Ron Roy, illustrated by John Steven Gurney</v>
      </c>
      <c r="G2951" s="3" t="str">
        <f>"Random House"</f>
        <v>Random House</v>
      </c>
      <c r="H2951" s="2" t="str">
        <f>"2019"</f>
        <v>2019</v>
      </c>
      <c r="I2951" s="3" t="str">
        <f>""</f>
        <v/>
      </c>
    </row>
    <row r="2952" spans="1:9" x14ac:dyDescent="0.3">
      <c r="A2952" s="2">
        <v>2951</v>
      </c>
      <c r="B2952" s="4" t="s">
        <v>40</v>
      </c>
      <c r="C2952" s="3" t="str">
        <f>"TFC000004708"</f>
        <v>TFC000004708</v>
      </c>
      <c r="D2952" s="3" t="str">
        <f>"F800-22-0517-(AR 3.9)"</f>
        <v>F800-22-0517-(AR 3.9)</v>
      </c>
      <c r="E2952" s="3" t="str">
        <f>"You've reached sam"</f>
        <v>You've reached sam</v>
      </c>
      <c r="F2952" s="3" t="str">
        <f>"by Dustin Thao"</f>
        <v>by Dustin Thao</v>
      </c>
      <c r="G2952" s="3" t="str">
        <f>"PanMacmillan"</f>
        <v>PanMacmillan</v>
      </c>
      <c r="H2952" s="2" t="str">
        <f>"2022"</f>
        <v>2022</v>
      </c>
      <c r="I2952" s="3" t="str">
        <f>""</f>
        <v/>
      </c>
    </row>
    <row r="2953" spans="1:9" x14ac:dyDescent="0.3">
      <c r="A2953" s="2">
        <v>2952</v>
      </c>
      <c r="B2953" s="4" t="s">
        <v>40</v>
      </c>
      <c r="C2953" s="3" t="str">
        <f>"TFC000001971"</f>
        <v>TFC000001971</v>
      </c>
      <c r="D2953" s="3" t="str">
        <f>"F800-20-2179-(AR3.9)"</f>
        <v>F800-20-2179-(AR3.9)</v>
      </c>
      <c r="E2953" s="3" t="str">
        <f>"(The)swan princess"</f>
        <v>(The)swan princess</v>
      </c>
      <c r="F2953" s="3" t="str">
        <f>"based on the story by Hans Christian Andersen ; retold by Rosie Dickins ; illustrated by Jenny Press"</f>
        <v>based on the story by Hans Christian Andersen ; retold by Rosie Dickins ; illustrated by Jenny Press</v>
      </c>
      <c r="G2953" s="3" t="str">
        <f>"Usborne"</f>
        <v>Usborne</v>
      </c>
      <c r="H2953" s="2" t="str">
        <f>"2005"</f>
        <v>2005</v>
      </c>
      <c r="I2953" s="2" t="s">
        <v>2</v>
      </c>
    </row>
    <row r="2954" spans="1:9" x14ac:dyDescent="0.3">
      <c r="A2954" s="2">
        <v>2953</v>
      </c>
      <c r="B2954" s="4" t="s">
        <v>40</v>
      </c>
      <c r="C2954" s="3" t="str">
        <f>"TFC000003827"</f>
        <v>TFC000003827</v>
      </c>
      <c r="D2954" s="3" t="str">
        <f>"F800-21-0726-(AR3.9)"</f>
        <v>F800-21-0726-(AR3.9)</v>
      </c>
      <c r="E2954" s="3" t="str">
        <f>"This hotel is haunted!"</f>
        <v>This hotel is haunted!</v>
      </c>
      <c r="F2954" s="3" t="str">
        <f>"by Geronimo Stilton, [illustrations by Valeria Turati, translated by Julia Heim]"</f>
        <v>by Geronimo Stilton, [illustrations by Valeria Turati, translated by Julia Heim]</v>
      </c>
      <c r="G2954" s="3" t="str">
        <f>"Scholastic"</f>
        <v>Scholastic</v>
      </c>
      <c r="H2954" s="2" t="str">
        <f>"2012"</f>
        <v>2012</v>
      </c>
      <c r="I2954" s="3" t="str">
        <f>""</f>
        <v/>
      </c>
    </row>
    <row r="2955" spans="1:9" x14ac:dyDescent="0.3">
      <c r="A2955" s="2">
        <v>2954</v>
      </c>
      <c r="B2955" s="4" t="s">
        <v>40</v>
      </c>
      <c r="C2955" s="3" t="str">
        <f>"TFC000001959"</f>
        <v>TFC000001959</v>
      </c>
      <c r="D2955" s="3" t="str">
        <f>"F800-20-2167-(AR3.9)"</f>
        <v>F800-20-2167-(AR3.9)</v>
      </c>
      <c r="E2955" s="3" t="str">
        <f>"(The)time warp trio. 12, Viking it and liking it"</f>
        <v>(The)time warp trio. 12, Viking it and liking it</v>
      </c>
      <c r="F2955" s="3" t="str">
        <f>"Jon Scieszka ; illustrated by Adam McCauley"</f>
        <v>Jon Scieszka ; illustrated by Adam McCauley</v>
      </c>
      <c r="G2955" s="3" t="str">
        <f>"Puffin Books"</f>
        <v>Puffin Books</v>
      </c>
      <c r="H2955" s="2" t="str">
        <f>"2006"</f>
        <v>2006</v>
      </c>
      <c r="I2955" s="3" t="str">
        <f>""</f>
        <v/>
      </c>
    </row>
    <row r="2956" spans="1:9" x14ac:dyDescent="0.3">
      <c r="A2956" s="2">
        <v>2955</v>
      </c>
      <c r="B2956" s="4" t="s">
        <v>40</v>
      </c>
      <c r="C2956" s="3" t="str">
        <f>"TFC000001960"</f>
        <v>TFC000001960</v>
      </c>
      <c r="D2956" s="3" t="str">
        <f>"F800-20-2168-(AR3.9)"</f>
        <v>F800-20-2168-(AR3.9)</v>
      </c>
      <c r="E2956" s="3" t="str">
        <f>"This is just to say : poems of apology and forgiveness"</f>
        <v>This is just to say : poems of apology and forgiveness</v>
      </c>
      <c r="F2956" s="3" t="str">
        <f>"by Joyce Sidman ; illustrated by Pamela Zagarenski"</f>
        <v>by Joyce Sidman ; illustrated by Pamela Zagarenski</v>
      </c>
      <c r="G2956" s="3" t="str">
        <f>"Houghton Mifflin Harcourt"</f>
        <v>Houghton Mifflin Harcourt</v>
      </c>
      <c r="H2956" s="2" t="str">
        <f>"2007"</f>
        <v>2007</v>
      </c>
      <c r="I2956" s="3" t="str">
        <f>""</f>
        <v/>
      </c>
    </row>
    <row r="2957" spans="1:9" x14ac:dyDescent="0.3">
      <c r="A2957" s="2">
        <v>2956</v>
      </c>
      <c r="B2957" s="4" t="s">
        <v>40</v>
      </c>
      <c r="C2957" s="3" t="str">
        <f>"TFC000001961"</f>
        <v>TFC000001961</v>
      </c>
      <c r="D2957" s="3" t="str">
        <f>"F800-20-2169-(AR3.9)"</f>
        <v>F800-20-2169-(AR3.9)</v>
      </c>
      <c r="E2957" s="3" t="str">
        <f>"(The)gardener"</f>
        <v>(The)gardener</v>
      </c>
      <c r="F2957" s="3" t="str">
        <f>"Sarah Stewart ; pictures by David Small"</f>
        <v>Sarah Stewart ; pictures by David Small</v>
      </c>
      <c r="G2957" s="3" t="str">
        <f>"Square Fish"</f>
        <v>Square Fish</v>
      </c>
      <c r="H2957" s="2" t="str">
        <f>"2007"</f>
        <v>2007</v>
      </c>
      <c r="I2957" s="3" t="str">
        <f>""</f>
        <v/>
      </c>
    </row>
    <row r="2958" spans="1:9" x14ac:dyDescent="0.3">
      <c r="A2958" s="2">
        <v>2957</v>
      </c>
      <c r="B2958" s="4" t="s">
        <v>40</v>
      </c>
      <c r="C2958" s="3" t="str">
        <f>"TFC000001962"</f>
        <v>TFC000001962</v>
      </c>
      <c r="D2958" s="3" t="str">
        <f>"F800-20-2170-(AR3.9)"</f>
        <v>F800-20-2170-(AR3.9)</v>
      </c>
      <c r="E2958" s="3" t="str">
        <f>"Armadillo and hare : small tales from the Big Forest"</f>
        <v>Armadillo and hare : small tales from the Big Forest</v>
      </c>
      <c r="F2958" s="3" t="str">
        <f>"Jeremy Strong ; illustrated by ReBecca Bagley"</f>
        <v>Jeremy Strong ; illustrated by ReBecca Bagley</v>
      </c>
      <c r="G2958" s="3" t="str">
        <f>"David Fickling Books"</f>
        <v>David Fickling Books</v>
      </c>
      <c r="H2958" s="2" t="str">
        <f>"2020"</f>
        <v>2020</v>
      </c>
      <c r="I2958" s="3" t="str">
        <f>""</f>
        <v/>
      </c>
    </row>
    <row r="2959" spans="1:9" x14ac:dyDescent="0.3">
      <c r="A2959" s="2">
        <v>2958</v>
      </c>
      <c r="B2959" s="4" t="s">
        <v>40</v>
      </c>
      <c r="C2959" s="3" t="str">
        <f>"TFC000001963"</f>
        <v>TFC000001963</v>
      </c>
      <c r="D2959" s="3" t="str">
        <f>"F800-20-2171-(AR3.9)"</f>
        <v>F800-20-2171-(AR3.9)</v>
      </c>
      <c r="E2959" s="3" t="str">
        <f>"(The)sinking of the Titanic, 1912"</f>
        <v>(The)sinking of the Titanic, 1912</v>
      </c>
      <c r="F2959" s="3" t="str">
        <f>"by Lauren Tarshis ; illustrated by Scott Dawson"</f>
        <v>by Lauren Tarshis ; illustrated by Scott Dawson</v>
      </c>
      <c r="G2959" s="3" t="str">
        <f>"Scholastic"</f>
        <v>Scholastic</v>
      </c>
      <c r="H2959" s="2" t="str">
        <f>"2010"</f>
        <v>2010</v>
      </c>
      <c r="I2959" s="3" t="str">
        <f>""</f>
        <v/>
      </c>
    </row>
    <row r="2960" spans="1:9" x14ac:dyDescent="0.3">
      <c r="A2960" s="2">
        <v>2959</v>
      </c>
      <c r="B2960" s="4" t="s">
        <v>40</v>
      </c>
      <c r="C2960" s="3" t="str">
        <f>"TFC000001964"</f>
        <v>TFC000001964</v>
      </c>
      <c r="D2960" s="3" t="str">
        <f>"F800-20-2172-(AR3.9)"</f>
        <v>F800-20-2172-(AR3.9)</v>
      </c>
      <c r="E2960" s="3" t="str">
        <f>"Migrant"</f>
        <v>Migrant</v>
      </c>
      <c r="F2960" s="3" t="str">
        <f>"Maxine Trottier ; pictures by Isabelle Arsenault"</f>
        <v>Maxine Trottier ; pictures by Isabelle Arsenault</v>
      </c>
      <c r="G2960" s="3" t="str">
        <f>"Groundwood Books"</f>
        <v>Groundwood Books</v>
      </c>
      <c r="H2960" s="2" t="str">
        <f>"2011"</f>
        <v>2011</v>
      </c>
      <c r="I2960" s="3" t="str">
        <f>""</f>
        <v/>
      </c>
    </row>
    <row r="2961" spans="1:9" x14ac:dyDescent="0.3">
      <c r="A2961" s="2">
        <v>2960</v>
      </c>
      <c r="B2961" s="4" t="s">
        <v>40</v>
      </c>
      <c r="C2961" s="3" t="str">
        <f>"TFC000001965"</f>
        <v>TFC000001965</v>
      </c>
      <c r="D2961" s="3" t="str">
        <f>"F800-20-2173-(AR3.9)"</f>
        <v>F800-20-2173-(AR3.9)</v>
      </c>
      <c r="E2961" s="3" t="str">
        <f>"Three Times Lucky"</f>
        <v>Three Times Lucky</v>
      </c>
      <c r="F2961" s="3" t="str">
        <f>"by Sheila Turnage"</f>
        <v>by Sheila Turnage</v>
      </c>
      <c r="G2961" s="3" t="str">
        <f>"Puffin Books"</f>
        <v>Puffin Books</v>
      </c>
      <c r="H2961" s="2" t="str">
        <f>"2014"</f>
        <v>2014</v>
      </c>
      <c r="I2961" s="3" t="str">
        <f>""</f>
        <v/>
      </c>
    </row>
    <row r="2962" spans="1:9" x14ac:dyDescent="0.3">
      <c r="A2962" s="2">
        <v>2961</v>
      </c>
      <c r="B2962" s="4" t="s">
        <v>40</v>
      </c>
      <c r="C2962" s="3" t="str">
        <f>"TFC000001966"</f>
        <v>TFC000001966</v>
      </c>
      <c r="D2962" s="3" t="str">
        <f>"F800-20-2174-(AR3.9)"</f>
        <v>F800-20-2174-(AR3.9)</v>
      </c>
      <c r="E2962" s="3" t="str">
        <f>"Super-completely and totally the messiest"</f>
        <v>Super-completely and totally the messiest</v>
      </c>
      <c r="F2962" s="3" t="str">
        <f>"Judith Viorst ; pictures by Robin Preiss Glasser"</f>
        <v>Judith Viorst ; pictures by Robin Preiss Glasser</v>
      </c>
      <c r="G2962" s="3" t="str">
        <f>"Atheneum Books for Young Readers"</f>
        <v>Atheneum Books for Young Readers</v>
      </c>
      <c r="H2962" s="2" t="str">
        <f>"2004"</f>
        <v>2004</v>
      </c>
      <c r="I2962" s="3" t="str">
        <f>""</f>
        <v/>
      </c>
    </row>
    <row r="2963" spans="1:9" x14ac:dyDescent="0.3">
      <c r="A2963" s="2">
        <v>2962</v>
      </c>
      <c r="B2963" s="4" t="s">
        <v>40</v>
      </c>
      <c r="C2963" s="3" t="str">
        <f>"TFC000001967"</f>
        <v>TFC000001967</v>
      </c>
      <c r="D2963" s="3" t="str">
        <f>"F800-20-2175-(AR3.9)"</f>
        <v>F800-20-2175-(AR3.9)</v>
      </c>
      <c r="E2963" s="3" t="str">
        <f>"Justin and the best biscuits in the world"</f>
        <v>Justin and the best biscuits in the world</v>
      </c>
      <c r="F2963" s="3" t="str">
        <f>"Mildred Pitts Walter ; illustrations by Catherine Stock"</f>
        <v>Mildred Pitts Walter ; illustrations by Catherine Stock</v>
      </c>
      <c r="G2963" s="3" t="str">
        <f>"Amistad"</f>
        <v>Amistad</v>
      </c>
      <c r="H2963" s="2" t="str">
        <f>"2010"</f>
        <v>2010</v>
      </c>
      <c r="I2963" s="3" t="str">
        <f>""</f>
        <v/>
      </c>
    </row>
    <row r="2964" spans="1:9" x14ac:dyDescent="0.3">
      <c r="A2964" s="2">
        <v>2963</v>
      </c>
      <c r="B2964" s="4" t="s">
        <v>40</v>
      </c>
      <c r="C2964" s="3" t="str">
        <f>"TFC000001968"</f>
        <v>TFC000001968</v>
      </c>
      <c r="D2964" s="3" t="str">
        <f>"F800-20-2176-(AR3.9)"</f>
        <v>F800-20-2176-(AR3.9)</v>
      </c>
      <c r="E2964" s="3" t="str">
        <f>"Love, life, and the list"</f>
        <v>Love, life, and the list</v>
      </c>
      <c r="F2964" s="3" t="str">
        <f>"Kasie West"</f>
        <v>Kasie West</v>
      </c>
      <c r="G2964" s="3" t="str">
        <f>"HarperTeen"</f>
        <v>HarperTeen</v>
      </c>
      <c r="H2964" s="2" t="str">
        <f>"2018"</f>
        <v>2018</v>
      </c>
      <c r="I2964" s="3" t="str">
        <f>""</f>
        <v/>
      </c>
    </row>
    <row r="2965" spans="1:9" x14ac:dyDescent="0.3">
      <c r="A2965" s="2">
        <v>2964</v>
      </c>
      <c r="B2965" s="4" t="s">
        <v>40</v>
      </c>
      <c r="C2965" s="3" t="str">
        <f>"TFC000001969"</f>
        <v>TFC000001969</v>
      </c>
      <c r="D2965" s="3" t="str">
        <f>"F800-20-2177-(AR3.9)"</f>
        <v>F800-20-2177-(AR3.9)</v>
      </c>
      <c r="E2965" s="3" t="str">
        <f>"Mia Mayhem stops time!"</f>
        <v>Mia Mayhem stops time!</v>
      </c>
      <c r="F2965" s="3" t="str">
        <f>"by Kara West ; illustrated by Leeza Hernandez"</f>
        <v>by Kara West ; illustrated by Leeza Hernandez</v>
      </c>
      <c r="G2965" s="3" t="str">
        <f>"Little Simon"</f>
        <v>Little Simon</v>
      </c>
      <c r="H2965" s="2" t="str">
        <f>"2019"</f>
        <v>2019</v>
      </c>
      <c r="I2965" s="3" t="str">
        <f>""</f>
        <v/>
      </c>
    </row>
    <row r="2966" spans="1:9" x14ac:dyDescent="0.3">
      <c r="A2966" s="2">
        <v>2965</v>
      </c>
      <c r="B2966" s="4" t="s">
        <v>40</v>
      </c>
      <c r="C2966" s="3" t="str">
        <f>"TFC000001970"</f>
        <v>TFC000001970</v>
      </c>
      <c r="D2966" s="3" t="str">
        <f>"F800-20-2178-(AR3.9)"</f>
        <v>F800-20-2178-(AR3.9)</v>
      </c>
      <c r="E2966" s="3" t="str">
        <f>"Dragon masters. 13, eye of the earthquake dragon"</f>
        <v>Dragon masters. 13, eye of the earthquake dragon</v>
      </c>
      <c r="F2966" s="3" t="str">
        <f>"by Tracey West"</f>
        <v>by Tracey West</v>
      </c>
      <c r="G2966" s="3" t="str">
        <f>"Scholastic"</f>
        <v>Scholastic</v>
      </c>
      <c r="H2966" s="2" t="str">
        <f>"2019"</f>
        <v>2019</v>
      </c>
      <c r="I2966" s="3" t="str">
        <f>""</f>
        <v/>
      </c>
    </row>
    <row r="2967" spans="1:9" x14ac:dyDescent="0.3">
      <c r="A2967" s="2">
        <v>2966</v>
      </c>
      <c r="B2967" s="4" t="s">
        <v>40</v>
      </c>
      <c r="C2967" s="3" t="str">
        <f>"TFC000001972"</f>
        <v>TFC000001972</v>
      </c>
      <c r="D2967" s="3" t="str">
        <f>"F800-20-2180-(AR3.9)"</f>
        <v>F800-20-2180-(AR3.9)</v>
      </c>
      <c r="E2967" s="3" t="str">
        <f>"(The)giant diamond robbery"</f>
        <v>(The)giant diamond robbery</v>
      </c>
      <c r="F2967" s="3" t="str">
        <f>"by Geronimo Stilton ; illustrations by Wasabi! Studio, Davide Turotti"</f>
        <v>by Geronimo Stilton ; illustrations by Wasabi! Studio, Davide Turotti</v>
      </c>
      <c r="G2967" s="3" t="str">
        <f>"Scholastic"</f>
        <v>Scholastic</v>
      </c>
      <c r="H2967" s="2" t="str">
        <f>"2011"</f>
        <v>2011</v>
      </c>
      <c r="I2967" s="3" t="str">
        <f>""</f>
        <v/>
      </c>
    </row>
    <row r="2968" spans="1:9" x14ac:dyDescent="0.3">
      <c r="A2968" s="2">
        <v>2967</v>
      </c>
      <c r="B2968" s="4" t="s">
        <v>40</v>
      </c>
      <c r="C2968" s="3" t="str">
        <f>"TFC000001973"</f>
        <v>TFC000001973</v>
      </c>
      <c r="D2968" s="3" t="str">
        <f>"F900-20-2185-(AR3.9)"</f>
        <v>F900-20-2185-(AR3.9)</v>
      </c>
      <c r="E2968" s="3" t="str">
        <f>"I am Gandhi"</f>
        <v>I am Gandhi</v>
      </c>
      <c r="F2968" s="3" t="str">
        <f>"Brad Meltzer ; illustrated by Christopher Eliopoulos"</f>
        <v>Brad Meltzer ; illustrated by Christopher Eliopoulos</v>
      </c>
      <c r="G2968" s="3" t="str">
        <f>"Dial Books for Young Readers"</f>
        <v>Dial Books for Young Readers</v>
      </c>
      <c r="H2968" s="2" t="str">
        <f>"2017"</f>
        <v>2017</v>
      </c>
      <c r="I2968" s="3" t="str">
        <f>""</f>
        <v/>
      </c>
    </row>
    <row r="2969" spans="1:9" x14ac:dyDescent="0.3">
      <c r="A2969" s="2">
        <v>2968</v>
      </c>
      <c r="B2969" s="4" t="s">
        <v>40</v>
      </c>
      <c r="C2969" s="3" t="str">
        <f>"TFC000001974"</f>
        <v>TFC000001974</v>
      </c>
      <c r="D2969" s="3" t="str">
        <f>"F900-20-2186-(AR3.9)"</f>
        <v>F900-20-2186-(AR3.9)</v>
      </c>
      <c r="E2969" s="3" t="str">
        <f>"Helen Keller"</f>
        <v>Helen Keller</v>
      </c>
      <c r="F2969" s="3" t="str">
        <f>"Margaret Davidson ; illustrated by Wendy Watson"</f>
        <v>Margaret Davidson ; illustrated by Wendy Watson</v>
      </c>
      <c r="G2969" s="3" t="str">
        <f>"Scholastic"</f>
        <v>Scholastic</v>
      </c>
      <c r="H2969" s="2" t="str">
        <f>"1969"</f>
        <v>1969</v>
      </c>
      <c r="I2969" s="3" t="str">
        <f>""</f>
        <v/>
      </c>
    </row>
    <row r="2970" spans="1:9" x14ac:dyDescent="0.3">
      <c r="A2970" s="2">
        <v>2969</v>
      </c>
      <c r="B2970" s="4" t="s">
        <v>40</v>
      </c>
      <c r="C2970" s="3" t="str">
        <f>"TFC000001975"</f>
        <v>TFC000001975</v>
      </c>
      <c r="D2970" s="3" t="str">
        <f>"F900-20-2187-(AR3.9)"</f>
        <v>F900-20-2187-(AR3.9)</v>
      </c>
      <c r="E2970" s="3" t="str">
        <f>"When sparks fly : the true story of Robert Goddard, father of US rocketry"</f>
        <v>When sparks fly : the true story of Robert Goddard, father of US rocketry</v>
      </c>
      <c r="F2970" s="3" t="str">
        <f>"by Kristen Fulton ; illustrated by Diego Funck"</f>
        <v>by Kristen Fulton ; illustrated by Diego Funck</v>
      </c>
      <c r="G2970" s="3" t="str">
        <f>"Margaret K. McElderry Books"</f>
        <v>Margaret K. McElderry Books</v>
      </c>
      <c r="H2970" s="2" t="str">
        <f>"2018"</f>
        <v>2018</v>
      </c>
      <c r="I2970" s="3" t="str">
        <f>""</f>
        <v/>
      </c>
    </row>
    <row r="2971" spans="1:9" x14ac:dyDescent="0.3">
      <c r="A2971" s="2">
        <v>2970</v>
      </c>
      <c r="B2971" s="4" t="s">
        <v>40</v>
      </c>
      <c r="C2971" s="3" t="str">
        <f>"TFC000002894"</f>
        <v>TFC000002894</v>
      </c>
      <c r="D2971" s="3" t="str">
        <f>"F800-20-2181-(AR3.9)"</f>
        <v>F800-20-2181-(AR3.9)</v>
      </c>
      <c r="E2971" s="3" t="str">
        <f>"Princess for a week"</f>
        <v>Princess for a week</v>
      </c>
      <c r="F2971" s="3" t="str">
        <f>"by Betty Ren Wright ; illustrated by Jacqueline Rogers"</f>
        <v>by Betty Ren Wright ; illustrated by Jacqueline Rogers</v>
      </c>
      <c r="G2971" s="3" t="str">
        <f>"Scholastic"</f>
        <v>Scholastic</v>
      </c>
      <c r="H2971" s="2" t="str">
        <f>"2007"</f>
        <v>2007</v>
      </c>
      <c r="I2971" s="3" t="str">
        <f>""</f>
        <v/>
      </c>
    </row>
    <row r="2972" spans="1:9" x14ac:dyDescent="0.3">
      <c r="A2972" s="2">
        <v>2971</v>
      </c>
      <c r="B2972" s="4" t="s">
        <v>40</v>
      </c>
      <c r="C2972" s="3" t="str">
        <f>"TFC000002895"</f>
        <v>TFC000002895</v>
      </c>
      <c r="D2972" s="3" t="str">
        <f>"F800-20-2182-(AR3.9)"</f>
        <v>F800-20-2182-(AR3.9)</v>
      </c>
      <c r="E2972" s="3" t="str">
        <f>"Shrek!"</f>
        <v>Shrek!</v>
      </c>
      <c r="F2972" s="3" t="str">
        <f>"William Steig"</f>
        <v>William Steig</v>
      </c>
      <c r="G2972" s="3" t="str">
        <f>"Square Fish"</f>
        <v>Square Fish</v>
      </c>
      <c r="H2972" s="2" t="str">
        <f>"2008"</f>
        <v>2008</v>
      </c>
      <c r="I2972" s="3" t="str">
        <f>""</f>
        <v/>
      </c>
    </row>
    <row r="2973" spans="1:9" x14ac:dyDescent="0.3">
      <c r="A2973" s="2">
        <v>2972</v>
      </c>
      <c r="B2973" s="4" t="s">
        <v>40</v>
      </c>
      <c r="C2973" s="3" t="str">
        <f>"TFC000004489"</f>
        <v>TFC000004489</v>
      </c>
      <c r="D2973" s="3" t="str">
        <f>"F400-22-0298-(AR3.9)"</f>
        <v>F400-22-0298-(AR3.9)</v>
      </c>
      <c r="E2973" s="3" t="str">
        <f>"Superhuman Memory"</f>
        <v>Superhuman Memory</v>
      </c>
      <c r="F2973" s="3" t="str">
        <f>"by Jessica Rusick"</f>
        <v>by Jessica Rusick</v>
      </c>
      <c r="G2973" s="3" t="str">
        <f>"Big Buddy Books"</f>
        <v>Big Buddy Books</v>
      </c>
      <c r="H2973" s="2" t="str">
        <f>"2021"</f>
        <v>2021</v>
      </c>
      <c r="I2973" s="3" t="str">
        <f>""</f>
        <v/>
      </c>
    </row>
    <row r="2974" spans="1:9" x14ac:dyDescent="0.3">
      <c r="A2974" s="2">
        <v>2973</v>
      </c>
      <c r="B2974" s="4" t="s">
        <v>40</v>
      </c>
      <c r="C2974" s="3" t="str">
        <f>"TFC000003629"</f>
        <v>TFC000003629</v>
      </c>
      <c r="D2974" s="3" t="str">
        <f>"F800-21-0724-(AR3.9)"</f>
        <v>F800-21-0724-(AR3.9)</v>
      </c>
      <c r="E2974" s="3" t="str">
        <f>"Who broke Lincoln's thumb?"</f>
        <v>Who broke Lincoln's thumb?</v>
      </c>
      <c r="F2974" s="3" t="str">
        <f>"by Ron Roy ; illustrated by Timothy Bush"</f>
        <v>by Ron Roy ; illustrated by Timothy Bush</v>
      </c>
      <c r="G2974" s="3" t="str">
        <f>"Random House"</f>
        <v>Random House</v>
      </c>
      <c r="H2974" s="2" t="str">
        <f>"2009"</f>
        <v>2009</v>
      </c>
      <c r="I2974" s="3" t="str">
        <f>""</f>
        <v/>
      </c>
    </row>
    <row r="2975" spans="1:9" x14ac:dyDescent="0.3">
      <c r="A2975" s="2">
        <v>2974</v>
      </c>
      <c r="B2975" s="4" t="s">
        <v>40</v>
      </c>
      <c r="C2975" s="3" t="str">
        <f>"TFC000003630"</f>
        <v>TFC000003630</v>
      </c>
      <c r="D2975" s="3" t="str">
        <f>"F800-21-0725-(AR3.9)"</f>
        <v>F800-21-0725-(AR3.9)</v>
      </c>
      <c r="E2975" s="3" t="str">
        <f>"Fireworks at the FBI"</f>
        <v>Fireworks at the FBI</v>
      </c>
      <c r="F2975" s="3" t="str">
        <f>"by Ron Roy ; illustrated by Timothy Bush"</f>
        <v>by Ron Roy ; illustrated by Timothy Bush</v>
      </c>
      <c r="G2975" s="3" t="str">
        <f>"Random House"</f>
        <v>Random House</v>
      </c>
      <c r="H2975" s="2" t="str">
        <f>"2010"</f>
        <v>2010</v>
      </c>
      <c r="I2975" s="3" t="str">
        <f>""</f>
        <v/>
      </c>
    </row>
    <row r="2976" spans="1:9" x14ac:dyDescent="0.3">
      <c r="A2976" s="2">
        <v>2975</v>
      </c>
      <c r="B2976" s="4" t="s">
        <v>40</v>
      </c>
      <c r="C2976" s="3" t="str">
        <f>"TFC000004912"</f>
        <v>TFC000004912</v>
      </c>
      <c r="D2976" s="3" t="str">
        <f>"F800-23-0016-(AR3.9)"</f>
        <v>F800-23-0016-(AR3.9)</v>
      </c>
      <c r="E2976" s="3" t="str">
        <f>"Dragon of the red dawn"</f>
        <v>Dragon of the red dawn</v>
      </c>
      <c r="F2976" s="3" t="str">
        <f>"by Mary Pope Osborne, illustrated by Sal Murdocca"</f>
        <v>by Mary Pope Osborne, illustrated by Sal Murdocca</v>
      </c>
      <c r="G2976" s="3" t="str">
        <f>"Random House"</f>
        <v>Random House</v>
      </c>
      <c r="H2976" s="2" t="str">
        <f>"2007"</f>
        <v>2007</v>
      </c>
      <c r="I2976" s="3" t="str">
        <f>""</f>
        <v/>
      </c>
    </row>
    <row r="2977" spans="1:9" x14ac:dyDescent="0.3">
      <c r="A2977" s="2">
        <v>2976</v>
      </c>
      <c r="B2977" s="4" t="s">
        <v>40</v>
      </c>
      <c r="C2977" s="3" t="str">
        <f>"TFC000004787"</f>
        <v>TFC000004787</v>
      </c>
      <c r="D2977" s="3" t="str">
        <f>"F800-22-0526-(AR3.9)"</f>
        <v>F800-22-0526-(AR3.9)</v>
      </c>
      <c r="E2977" s="3" t="str">
        <f>"You've reached Sam : a novel"</f>
        <v>You've reached Sam : a novel</v>
      </c>
      <c r="F2977" s="3" t="str">
        <f>"by Dustin Thao"</f>
        <v>by Dustin Thao</v>
      </c>
      <c r="G2977" s="3" t="str">
        <f>"St. Martin's Publishing Group"</f>
        <v>St. Martin's Publishing Group</v>
      </c>
      <c r="H2977" s="2" t="str">
        <f>"2021"</f>
        <v>2021</v>
      </c>
      <c r="I2977" s="3" t="str">
        <f>""</f>
        <v/>
      </c>
    </row>
    <row r="2978" spans="1:9" x14ac:dyDescent="0.3">
      <c r="A2978" s="2">
        <v>2977</v>
      </c>
      <c r="B2978" s="4" t="s">
        <v>40</v>
      </c>
      <c r="C2978" s="3" t="str">
        <f>"TFC000004222"</f>
        <v>TFC000004222</v>
      </c>
      <c r="D2978" s="3" t="str">
        <f>"F800-22-0059-(AR3.9)"</f>
        <v>F800-22-0059-(AR3.9)</v>
      </c>
      <c r="E2978" s="3" t="str">
        <f>"(The)Castle crime"</f>
        <v>(The)Castle crime</v>
      </c>
      <c r="F2978" s="3" t="str">
        <f>"by Ron Roy, Illustrated by John Steven Gurney"</f>
        <v>by Ron Roy, Illustrated by John Steven Gurney</v>
      </c>
      <c r="G2978" s="3" t="str">
        <f>"Random House"</f>
        <v>Random House</v>
      </c>
      <c r="H2978" s="2" t="str">
        <f>"2015"</f>
        <v>2015</v>
      </c>
      <c r="I2978" s="3" t="str">
        <f>""</f>
        <v/>
      </c>
    </row>
    <row r="2979" spans="1:9" x14ac:dyDescent="0.3">
      <c r="A2979" s="2">
        <v>2978</v>
      </c>
      <c r="B2979" s="4" t="s">
        <v>40</v>
      </c>
      <c r="C2979" s="3" t="str">
        <f>"TFC000004225"</f>
        <v>TFC000004225</v>
      </c>
      <c r="D2979" s="3" t="str">
        <f>"F800-22-0060-(AR3.9)"</f>
        <v>F800-22-0060-(AR3.9)</v>
      </c>
      <c r="E2979" s="3" t="str">
        <f>"April fools' Fiasco"</f>
        <v>April fools' Fiasco</v>
      </c>
      <c r="F2979" s="3" t="str">
        <f>"by Ron Roy, illustrated by John Steven Gurney"</f>
        <v>by Ron Roy, illustrated by John Steven Gurney</v>
      </c>
      <c r="G2979" s="3" t="str">
        <f>"Random House"</f>
        <v>Random House</v>
      </c>
      <c r="H2979" s="2" t="str">
        <f>"2017"</f>
        <v>2017</v>
      </c>
      <c r="I2979" s="3" t="str">
        <f>""</f>
        <v/>
      </c>
    </row>
    <row r="2980" spans="1:9" x14ac:dyDescent="0.3">
      <c r="A2980" s="2">
        <v>2979</v>
      </c>
      <c r="B2980" s="4" t="s">
        <v>40</v>
      </c>
      <c r="C2980" s="3" t="str">
        <f>"TFC000004355"</f>
        <v>TFC000004355</v>
      </c>
      <c r="D2980" s="3" t="str">
        <f>"F800-22-0164-(AR3.9)"</f>
        <v>F800-22-0164-(AR3.9)</v>
      </c>
      <c r="E2980" s="3" t="str">
        <f>"Jumanji"</f>
        <v>Jumanji</v>
      </c>
      <c r="F2980" s="3" t="str">
        <f>"by Chris Van Allsburg"</f>
        <v>by Chris Van Allsburg</v>
      </c>
      <c r="G2980" s="3" t="str">
        <f>"Andersen Press"</f>
        <v>Andersen Press</v>
      </c>
      <c r="H2980" s="2" t="str">
        <f>"2017"</f>
        <v>2017</v>
      </c>
      <c r="I2980" s="3" t="str">
        <f>""</f>
        <v/>
      </c>
    </row>
    <row r="2981" spans="1:9" x14ac:dyDescent="0.3">
      <c r="A2981" s="2">
        <v>2980</v>
      </c>
      <c r="B2981" s="4" t="s">
        <v>40</v>
      </c>
      <c r="C2981" s="3" t="str">
        <f>"TFC000004860"</f>
        <v>TFC000004860</v>
      </c>
      <c r="D2981" s="3" t="str">
        <f>"F800-22-0590-(AR3.9)"</f>
        <v>F800-22-0590-(AR3.9)</v>
      </c>
      <c r="E2981" s="3" t="str">
        <f>"(The)One and only Bob"</f>
        <v>(The)One and only Bob</v>
      </c>
      <c r="F2981" s="3" t="str">
        <f>"by Katherine Applegate"</f>
        <v>by Katherine Applegate</v>
      </c>
      <c r="G2981" s="3" t="str">
        <f>"Harper"</f>
        <v>Harper</v>
      </c>
      <c r="H2981" s="2" t="str">
        <f>"2020"</f>
        <v>2020</v>
      </c>
      <c r="I2981" s="3" t="str">
        <f>""</f>
        <v/>
      </c>
    </row>
    <row r="2982" spans="1:9" x14ac:dyDescent="0.3">
      <c r="A2982" s="2">
        <v>2981</v>
      </c>
      <c r="B2982" s="4" t="s">
        <v>40</v>
      </c>
      <c r="C2982" s="3" t="str">
        <f>"TFC000004490"</f>
        <v>TFC000004490</v>
      </c>
      <c r="D2982" s="3" t="str">
        <f>"F800-22-0299-(AR3.9)"</f>
        <v>F800-22-0299-(AR3.9)</v>
      </c>
      <c r="E2982" s="3" t="str">
        <f>"The Very First Case"</f>
        <v>The Very First Case</v>
      </c>
      <c r="F2982" s="3" t="str">
        <f>"by Walker Styles"</f>
        <v>by Walker Styles</v>
      </c>
      <c r="G2982" s="3" t="str">
        <f>"Little Simon"</f>
        <v>Little Simon</v>
      </c>
      <c r="H2982" s="2" t="str">
        <f>"2018"</f>
        <v>2018</v>
      </c>
      <c r="I2982" s="3" t="str">
        <f>""</f>
        <v/>
      </c>
    </row>
    <row r="2983" spans="1:9" x14ac:dyDescent="0.3">
      <c r="A2983" s="2">
        <v>2982</v>
      </c>
      <c r="B2983" s="4" t="s">
        <v>40</v>
      </c>
      <c r="C2983" s="3" t="str">
        <f>"TFC000004531"</f>
        <v>TFC000004531</v>
      </c>
      <c r="D2983" s="3" t="str">
        <f>"F800-22-0340-(AR3.9)"</f>
        <v>F800-22-0340-(AR3.9)</v>
      </c>
      <c r="E2983" s="3" t="str">
        <f>"Escape from...the Titanic"</f>
        <v>Escape from...the Titanic</v>
      </c>
      <c r="F2983" s="3" t="str">
        <f>"by Mary Kay Carson, illustrated by Nigel Chilvers"</f>
        <v>by Mary Kay Carson, illustrated by Nigel Chilvers</v>
      </c>
      <c r="G2983" s="3" t="str">
        <f>"Little Bee Books"</f>
        <v>Little Bee Books</v>
      </c>
      <c r="H2983" s="2" t="str">
        <f>"2021"</f>
        <v>2021</v>
      </c>
      <c r="I2983" s="3" t="str">
        <f>""</f>
        <v/>
      </c>
    </row>
    <row r="2984" spans="1:9" x14ac:dyDescent="0.3">
      <c r="A2984" s="2">
        <v>2983</v>
      </c>
      <c r="B2984" s="4" t="s">
        <v>40</v>
      </c>
      <c r="C2984" s="3" t="str">
        <f>"TFC000004532"</f>
        <v>TFC000004532</v>
      </c>
      <c r="D2984" s="3" t="str">
        <f>"F800-22-0341-(AR3.9)"</f>
        <v>F800-22-0341-(AR3.9)</v>
      </c>
      <c r="E2984" s="3" t="str">
        <f>"(The)girl in the lake"</f>
        <v>(The)girl in the lake</v>
      </c>
      <c r="F2984" s="3" t="str">
        <f>"by India Hill Brown"</f>
        <v>by India Hill Brown</v>
      </c>
      <c r="G2984" s="3" t="str">
        <f>"Scholastic Press"</f>
        <v>Scholastic Press</v>
      </c>
      <c r="H2984" s="2" t="str">
        <f>"2022"</f>
        <v>2022</v>
      </c>
      <c r="I2984" s="3" t="str">
        <f>""</f>
        <v/>
      </c>
    </row>
    <row r="2985" spans="1:9" x14ac:dyDescent="0.3">
      <c r="A2985" s="2">
        <v>2984</v>
      </c>
      <c r="B2985" s="4" t="s">
        <v>40</v>
      </c>
      <c r="C2985" s="3" t="str">
        <f>"TFC000004880"</f>
        <v>TFC000004880</v>
      </c>
      <c r="D2985" s="3" t="str">
        <f>"F800-22-0610-(AR3.9)"</f>
        <v>F800-22-0610-(AR3.9)</v>
      </c>
      <c r="E2985" s="3" t="str">
        <f>"One Thing You'd Save"</f>
        <v>One Thing You'd Save</v>
      </c>
      <c r="F2985" s="3" t="str">
        <f>"by Linda Sue Park, illustrated by Robert Sae-Heng"</f>
        <v>by Linda Sue Park, illustrated by Robert Sae-Heng</v>
      </c>
      <c r="G2985" s="3" t="str">
        <f>"Houghton Mifflin Harcourt"</f>
        <v>Houghton Mifflin Harcourt</v>
      </c>
      <c r="H2985" s="2" t="str">
        <f>"2021"</f>
        <v>2021</v>
      </c>
      <c r="I2985" s="3" t="str">
        <f>""</f>
        <v/>
      </c>
    </row>
    <row r="2986" spans="1:9" x14ac:dyDescent="0.3">
      <c r="A2986" s="2">
        <v>2985</v>
      </c>
      <c r="B2986" s="4" t="s">
        <v>40</v>
      </c>
      <c r="C2986" s="3" t="str">
        <f>"TFC000003116"</f>
        <v>TFC000003116</v>
      </c>
      <c r="D2986" s="3" t="str">
        <f>"F900-20-2188-[6](AR3.9)"</f>
        <v>F900-20-2188-[6](AR3.9)</v>
      </c>
      <c r="E2986" s="3" t="str">
        <f>"Dolly Parton"</f>
        <v>Dolly Parton</v>
      </c>
      <c r="F2986" s="3" t="str">
        <f>"by Isabel Sanchez Vegara ; ill by Daria Solak"</f>
        <v>by Isabel Sanchez Vegara ; ill by Daria Solak</v>
      </c>
      <c r="G2986" s="3" t="str">
        <f>"Frances Lincoln Children&amp;apos;s"</f>
        <v>Frances Lincoln Children&amp;apos;s</v>
      </c>
      <c r="H2986" s="2" t="str">
        <f>"2018"</f>
        <v>2018</v>
      </c>
      <c r="I2986" s="3" t="str">
        <f>""</f>
        <v/>
      </c>
    </row>
    <row r="2987" spans="1:9" x14ac:dyDescent="0.3">
      <c r="A2987" s="2">
        <v>2986</v>
      </c>
      <c r="B2987" s="4" t="s">
        <v>40</v>
      </c>
      <c r="C2987" s="3" t="str">
        <f>"TFC000003119"</f>
        <v>TFC000003119</v>
      </c>
      <c r="D2987" s="3" t="str">
        <f>"F900-20-2189-[9](AR3.9)"</f>
        <v>F900-20-2189-[9](AR3.9)</v>
      </c>
      <c r="E2987" s="3" t="str">
        <f>"Coco Chanel"</f>
        <v>Coco Chanel</v>
      </c>
      <c r="F2987" s="3" t="str">
        <f>"written by Ma Isabel S?nchez Vegara ; illustrated by Ana Albero"</f>
        <v>written by Ma Isabel S?nchez Vegara ; illustrated by Ana Albero</v>
      </c>
      <c r="G2987" s="3" t="str">
        <f>"Frances Lincoln Publishers Ltd"</f>
        <v>Frances Lincoln Publishers Ltd</v>
      </c>
      <c r="H2987" s="2" t="str">
        <f>"2016"</f>
        <v>2016</v>
      </c>
      <c r="I2987" s="3" t="str">
        <f>""</f>
        <v/>
      </c>
    </row>
    <row r="2988" spans="1:9" x14ac:dyDescent="0.3">
      <c r="A2988" s="2">
        <v>2987</v>
      </c>
      <c r="B2988" s="4">
        <v>3.9</v>
      </c>
      <c r="C2988" s="3" t="str">
        <f>"TFC000001943"</f>
        <v>TFC000001943</v>
      </c>
      <c r="D2988" s="3" t="str">
        <f>"F800-20-2151-12(AR 3.9)"</f>
        <v>F800-20-2151-12(AR 3.9)</v>
      </c>
      <c r="E2988" s="3" t="str">
        <f>"Ms. Todd is odd!"</f>
        <v>Ms. Todd is odd!</v>
      </c>
      <c r="F2988" s="3" t="str">
        <f>"Dan Gutman ; pictures by Jim Paillot"</f>
        <v>Dan Gutman ; pictures by Jim Paillot</v>
      </c>
      <c r="G2988" s="3" t="str">
        <f>"HarperTrophy"</f>
        <v>HarperTrophy</v>
      </c>
      <c r="H2988" s="2" t="str">
        <f>"2006"</f>
        <v>2006</v>
      </c>
      <c r="I2988" s="3" t="str">
        <f>""</f>
        <v/>
      </c>
    </row>
    <row r="2989" spans="1:9" x14ac:dyDescent="0.3">
      <c r="A2989" s="2">
        <v>2988</v>
      </c>
      <c r="B2989" s="4">
        <v>3.9</v>
      </c>
      <c r="C2989" s="3" t="str">
        <f>"TFC000001917"</f>
        <v>TFC000001917</v>
      </c>
      <c r="D2989" s="3" t="str">
        <f>"F400-20-2125-13(AR 3.9)"</f>
        <v>F400-20-2125-13(AR 3.9)</v>
      </c>
      <c r="E2989" s="3" t="str">
        <f>"Andrew lost. 13, in the garbage"</f>
        <v>Andrew lost. 13, in the garbage</v>
      </c>
      <c r="F2989" s="3" t="str">
        <f>"by J.C. Greenburg ; illustrated by Jan Gerardi"</f>
        <v>by J.C. Greenburg ; illustrated by Jan Gerardi</v>
      </c>
      <c r="G2989" s="3" t="str">
        <f>"Random House"</f>
        <v>Random House</v>
      </c>
      <c r="H2989" s="2" t="str">
        <f>"2006"</f>
        <v>2006</v>
      </c>
      <c r="I2989" s="3" t="str">
        <f>""</f>
        <v/>
      </c>
    </row>
    <row r="2990" spans="1:9" x14ac:dyDescent="0.3">
      <c r="A2990" s="2">
        <v>2989</v>
      </c>
      <c r="B2990" s="4">
        <v>3.9</v>
      </c>
      <c r="C2990" s="3" t="str">
        <f>"TFC000001926"</f>
        <v>TFC000001926</v>
      </c>
      <c r="D2990" s="3" t="str">
        <f>"F800-20-2134-3(AR 3.9)"</f>
        <v>F800-20-2134-3(AR 3.9)</v>
      </c>
      <c r="E2990" s="3" t="str">
        <f>"(A)Ghost Named Wanda"</f>
        <v>(A)Ghost Named Wanda</v>
      </c>
      <c r="F2990" s="3" t="str">
        <f>"by Dan Greenburg ; illustrated by Jack E. Davis"</f>
        <v>by Dan Greenburg ; illustrated by Jack E. Davis</v>
      </c>
      <c r="G2990" s="3" t="str">
        <f>"Grosset &amp; Dunlap"</f>
        <v>Grosset &amp; Dunlap</v>
      </c>
      <c r="H2990" s="2" t="str">
        <f>"1999"</f>
        <v>1999</v>
      </c>
      <c r="I2990" s="3" t="str">
        <f>""</f>
        <v/>
      </c>
    </row>
    <row r="2991" spans="1:9" x14ac:dyDescent="0.3">
      <c r="A2991" s="2">
        <v>2990</v>
      </c>
      <c r="B2991" s="4">
        <v>3.9</v>
      </c>
      <c r="C2991" s="3" t="str">
        <f>"TFC000004123"</f>
        <v>TFC000004123</v>
      </c>
      <c r="D2991" s="3" t="str">
        <f>"F800-21-0731-6(AR 3.9)"</f>
        <v>F800-21-0731-6(AR 3.9)</v>
      </c>
      <c r="E2991" s="3" t="str">
        <f>"Mac B. kid spy. 6, Mac saves the world"</f>
        <v>Mac B. kid spy. 6, Mac saves the world</v>
      </c>
      <c r="F2991" s="3" t="str">
        <f>"by Mac Barnett, illustrated by Mike Lowery"</f>
        <v>by Mac Barnett, illustrated by Mike Lowery</v>
      </c>
      <c r="G2991" s="3" t="str">
        <f>"Orchard Books"</f>
        <v>Orchard Books</v>
      </c>
      <c r="H2991" s="2" t="str">
        <f>"2021"</f>
        <v>2021</v>
      </c>
      <c r="I2991" s="3" t="str">
        <f>""</f>
        <v/>
      </c>
    </row>
    <row r="2992" spans="1:9" x14ac:dyDescent="0.3">
      <c r="A2992" s="2">
        <v>2991</v>
      </c>
      <c r="B2992" s="4">
        <v>3.9</v>
      </c>
      <c r="C2992" s="3" t="str">
        <f>"TFC000003927"</f>
        <v>TFC000003927</v>
      </c>
      <c r="D2992" s="3" t="str">
        <f>"F800-21-0728-7(AR 3.9)"</f>
        <v>F800-21-0728-7(AR 3.9)</v>
      </c>
      <c r="E2992" s="3" t="str">
        <f>"Ivy + Bean. 7, Take the case"</f>
        <v>Ivy + Bean. 7, Take the case</v>
      </c>
      <c r="F2992" s="3" t="str">
        <f>"by Annie Barrows, illustrated by Sophie Blackall"</f>
        <v>by Annie Barrows, illustrated by Sophie Blackall</v>
      </c>
      <c r="G2992" s="3" t="str">
        <f>"Chronicle Books"</f>
        <v>Chronicle Books</v>
      </c>
      <c r="H2992" s="2" t="str">
        <f>"2010"</f>
        <v>2010</v>
      </c>
      <c r="I2992" s="3" t="str">
        <f>""</f>
        <v/>
      </c>
    </row>
    <row r="2993" spans="1:9" x14ac:dyDescent="0.3">
      <c r="A2993" s="2">
        <v>2992</v>
      </c>
      <c r="B2993" s="4" t="s">
        <v>41</v>
      </c>
      <c r="C2993" s="3" t="str">
        <f>"TFC000001988"</f>
        <v>TFC000001988</v>
      </c>
      <c r="D2993" s="3" t="str">
        <f>"F800-20-2203-(AR 4.0)"</f>
        <v>F800-20-2203-(AR 4.0)</v>
      </c>
      <c r="E2993" s="3" t="str">
        <f>"Sylvester and the Magic Pebble"</f>
        <v>Sylvester and the Magic Pebble</v>
      </c>
      <c r="F2993" s="3" t="str">
        <f>"by William Steig"</f>
        <v>by William Steig</v>
      </c>
      <c r="G2993" s="3" t="str">
        <f>"Little Simon"</f>
        <v>Little Simon</v>
      </c>
      <c r="H2993" s="2" t="str">
        <f>"2012"</f>
        <v>2012</v>
      </c>
      <c r="I2993" s="2" t="s">
        <v>2</v>
      </c>
    </row>
    <row r="2994" spans="1:9" x14ac:dyDescent="0.3">
      <c r="A2994" s="2">
        <v>2993</v>
      </c>
      <c r="B2994" s="4" t="s">
        <v>41</v>
      </c>
      <c r="C2994" s="3" t="str">
        <f>"TFC000002005"</f>
        <v>TFC000002005</v>
      </c>
      <c r="D2994" s="3" t="str">
        <f>"F800-20-2220-(AR 4.0)"</f>
        <v>F800-20-2220-(AR 4.0)</v>
      </c>
      <c r="E2994" s="3" t="str">
        <f>"(A)crazy day with cobras"</f>
        <v>(A)crazy day with cobras</v>
      </c>
      <c r="F2994" s="3" t="str">
        <f>"by Mary Pope Osborne ; illustrated by Sal Murdocca"</f>
        <v>by Mary Pope Osborne ; illustrated by Sal Murdocca</v>
      </c>
      <c r="G2994" s="3" t="str">
        <f>"Random House"</f>
        <v>Random House</v>
      </c>
      <c r="H2994" s="2" t="str">
        <f>"2011"</f>
        <v>2011</v>
      </c>
      <c r="I2994" s="2" t="s">
        <v>2</v>
      </c>
    </row>
    <row r="2995" spans="1:9" x14ac:dyDescent="0.3">
      <c r="A2995" s="2">
        <v>2994</v>
      </c>
      <c r="B2995" s="4" t="s">
        <v>41</v>
      </c>
      <c r="C2995" s="3" t="str">
        <f>"TFC000003166"</f>
        <v>TFC000003166</v>
      </c>
      <c r="D2995" s="3" t="str">
        <f>"F800-20-2240-(AR 4.0)"</f>
        <v>F800-20-2240-(AR 4.0)</v>
      </c>
      <c r="E2995" s="3" t="str">
        <f>"Why mosquitoes buzz in people's ears : a west African tale"</f>
        <v>Why mosquitoes buzz in people's ears : a west African tale</v>
      </c>
      <c r="F2995" s="3" t="str">
        <f>"retold by Verna Aardema ; picture by Leo Dillon, Diane Dillon"</f>
        <v>retold by Verna Aardema ; picture by Leo Dillon, Diane Dillon</v>
      </c>
      <c r="G2995" s="3" t="str">
        <f>"Puffin Books"</f>
        <v>Puffin Books</v>
      </c>
      <c r="H2995" s="2" t="str">
        <f>"1978"</f>
        <v>1978</v>
      </c>
      <c r="I2995" s="2" t="s">
        <v>2</v>
      </c>
    </row>
    <row r="2996" spans="1:9" x14ac:dyDescent="0.3">
      <c r="A2996" s="2">
        <v>2995</v>
      </c>
      <c r="B2996" s="4" t="s">
        <v>41</v>
      </c>
      <c r="C2996" s="3" t="str">
        <f>"TFC000001976"</f>
        <v>TFC000001976</v>
      </c>
      <c r="D2996" s="3" t="str">
        <f>"F400-20-2191-(AR 4.0)"</f>
        <v>F400-20-2191-(AR 4.0)</v>
      </c>
      <c r="E2996" s="3" t="str">
        <f>"Andrew lost. 9, in time"</f>
        <v>Andrew lost. 9, in time</v>
      </c>
      <c r="F2996" s="3" t="str">
        <f>"by J.C. Greenburg ; illustrated by Jan Gerardi"</f>
        <v>by J.C. Greenburg ; illustrated by Jan Gerardi</v>
      </c>
      <c r="G2996" s="3" t="str">
        <f>"Random House"</f>
        <v>Random House</v>
      </c>
      <c r="H2996" s="2" t="str">
        <f>"2003"</f>
        <v>2003</v>
      </c>
      <c r="I2996" s="3" t="str">
        <f>""</f>
        <v/>
      </c>
    </row>
    <row r="2997" spans="1:9" x14ac:dyDescent="0.3">
      <c r="A2997" s="2">
        <v>2996</v>
      </c>
      <c r="B2997" s="4" t="s">
        <v>41</v>
      </c>
      <c r="C2997" s="3" t="str">
        <f>"TFC000001977"</f>
        <v>TFC000001977</v>
      </c>
      <c r="D2997" s="3" t="str">
        <f>"F400-20-2192-(AR 4.0)"</f>
        <v>F400-20-2192-(AR 4.0)</v>
      </c>
      <c r="E2997" s="3" t="str">
        <f>"Andrew lost. 16, in uncle Al"</f>
        <v>Andrew lost. 16, in uncle Al</v>
      </c>
      <c r="F2997" s="3" t="str">
        <f>"by J.C. Greenburg ; Illustrated by Jan Gerardi"</f>
        <v>by J.C. Greenburg ; Illustrated by Jan Gerardi</v>
      </c>
      <c r="G2997" s="3" t="str">
        <f>"Random House"</f>
        <v>Random House</v>
      </c>
      <c r="H2997" s="2" t="str">
        <f>"2007"</f>
        <v>2007</v>
      </c>
      <c r="I2997" s="3" t="str">
        <f>""</f>
        <v/>
      </c>
    </row>
    <row r="2998" spans="1:9" x14ac:dyDescent="0.3">
      <c r="A2998" s="2">
        <v>2997</v>
      </c>
      <c r="B2998" s="4" t="s">
        <v>41</v>
      </c>
      <c r="C2998" s="3" t="str">
        <f>"TFC000001978"</f>
        <v>TFC000001978</v>
      </c>
      <c r="D2998" s="3" t="str">
        <f>"F400-20-2193-(AR 4.0)"</f>
        <v>F400-20-2193-(AR 4.0)</v>
      </c>
      <c r="E2998" s="3" t="str">
        <f>"Erupt! : 100 fun facts about volcanoes"</f>
        <v>Erupt! : 100 fun facts about volcanoes</v>
      </c>
      <c r="F2998" s="3" t="str">
        <f>"by Joan Marie Galat"</f>
        <v>by Joan Marie Galat</v>
      </c>
      <c r="G2998" s="3" t="str">
        <f>"National Geographic"</f>
        <v>National Geographic</v>
      </c>
      <c r="H2998" s="2" t="str">
        <f>"2017"</f>
        <v>2017</v>
      </c>
      <c r="I2998" s="3" t="str">
        <f>""</f>
        <v/>
      </c>
    </row>
    <row r="2999" spans="1:9" x14ac:dyDescent="0.3">
      <c r="A2999" s="2">
        <v>2998</v>
      </c>
      <c r="B2999" s="4" t="s">
        <v>41</v>
      </c>
      <c r="C2999" s="3" t="str">
        <f>"TFC000001979"</f>
        <v>TFC000001979</v>
      </c>
      <c r="D2999" s="3" t="str">
        <f>"F400-20-2194-(AR 4.0)"</f>
        <v>F400-20-2194-(AR 4.0)</v>
      </c>
      <c r="E2999" s="3" t="str">
        <f>"Blizzards!"</f>
        <v>Blizzards!</v>
      </c>
      <c r="F2999" s="3" t="str">
        <f>"by Lorraine Jean Hopping ; illustrated by Jody Wheeler"</f>
        <v>by Lorraine Jean Hopping ; illustrated by Jody Wheeler</v>
      </c>
      <c r="G2999" s="3" t="str">
        <f>"Scholastic"</f>
        <v>Scholastic</v>
      </c>
      <c r="H2999" s="2" t="str">
        <f>"1998"</f>
        <v>1998</v>
      </c>
      <c r="I2999" s="3" t="str">
        <f>""</f>
        <v/>
      </c>
    </row>
    <row r="3000" spans="1:9" x14ac:dyDescent="0.3">
      <c r="A3000" s="2">
        <v>2999</v>
      </c>
      <c r="B3000" s="4" t="s">
        <v>41</v>
      </c>
      <c r="C3000" s="3" t="str">
        <f>"TFC000001980"</f>
        <v>TFC000001980</v>
      </c>
      <c r="D3000" s="3" t="str">
        <f>"F500-20-2195-(AR 4.0)"</f>
        <v>F500-20-2195-(AR 4.0)</v>
      </c>
      <c r="E3000" s="3" t="str">
        <f>"Sharks"</f>
        <v>Sharks</v>
      </c>
      <c r="F3000" s="3" t="str">
        <f>"by Gail Gibbons"</f>
        <v>by Gail Gibbons</v>
      </c>
      <c r="G3000" s="3" t="str">
        <f>"Holiday House"</f>
        <v>Holiday House</v>
      </c>
      <c r="H3000" s="2" t="str">
        <f>"2019"</f>
        <v>2019</v>
      </c>
      <c r="I3000" s="3" t="str">
        <f>""</f>
        <v/>
      </c>
    </row>
    <row r="3001" spans="1:9" x14ac:dyDescent="0.3">
      <c r="A3001" s="2">
        <v>3000</v>
      </c>
      <c r="B3001" s="4" t="s">
        <v>41</v>
      </c>
      <c r="C3001" s="3" t="str">
        <f>"TFC000001983"</f>
        <v>TFC000001983</v>
      </c>
      <c r="D3001" s="3" t="str">
        <f>"F800-20-2198-(AR 4.0)"</f>
        <v>F800-20-2198-(AR 4.0)</v>
      </c>
      <c r="E3001" s="3" t="str">
        <f>"George's marvelous medicine"</f>
        <v>George's marvelous medicine</v>
      </c>
      <c r="F3001" s="3" t="str">
        <f>"by Roald Dahl ; illustrated by Quentin Blake"</f>
        <v>by Roald Dahl ; illustrated by Quentin Blake</v>
      </c>
      <c r="G3001" s="3" t="str">
        <f>"Puffin books"</f>
        <v>Puffin books</v>
      </c>
      <c r="H3001" s="2" t="str">
        <f>"2013"</f>
        <v>2013</v>
      </c>
      <c r="I3001" s="3" t="str">
        <f>""</f>
        <v/>
      </c>
    </row>
    <row r="3002" spans="1:9" x14ac:dyDescent="0.3">
      <c r="A3002" s="2">
        <v>3001</v>
      </c>
      <c r="B3002" s="4" t="s">
        <v>41</v>
      </c>
      <c r="C3002" s="3" t="str">
        <f>"TFC000001984"</f>
        <v>TFC000001984</v>
      </c>
      <c r="D3002" s="3" t="str">
        <f>"F800-20-2199-(AR 4.0)"</f>
        <v>F800-20-2199-(AR 4.0)</v>
      </c>
      <c r="E3002" s="3" t="str">
        <f>"Top secret"</f>
        <v>Top secret</v>
      </c>
      <c r="F3002" s="3" t="str">
        <f>"by John Reynolds Gardiner ; illustrated by Marc Simont"</f>
        <v>by John Reynolds Gardiner ; illustrated by Marc Simont</v>
      </c>
      <c r="G3002" s="3" t="str">
        <f>"Little, Brown and Company"</f>
        <v>Little, Brown and Company</v>
      </c>
      <c r="H3002" s="2" t="str">
        <f>"1995"</f>
        <v>1995</v>
      </c>
      <c r="I3002" s="3" t="str">
        <f>""</f>
        <v/>
      </c>
    </row>
    <row r="3003" spans="1:9" x14ac:dyDescent="0.3">
      <c r="A3003" s="2">
        <v>3002</v>
      </c>
      <c r="B3003" s="4" t="s">
        <v>41</v>
      </c>
      <c r="C3003" s="3" t="str">
        <f>"TFC000001985"</f>
        <v>TFC000001985</v>
      </c>
      <c r="D3003" s="3" t="str">
        <f>"F800-20-2200-(AR 4.0)"</f>
        <v>F800-20-2200-(AR 4.0)</v>
      </c>
      <c r="E3003" s="3" t="str">
        <f>"Stone fox"</f>
        <v>Stone fox</v>
      </c>
      <c r="F3003" s="3" t="str">
        <f>"John Reynolds Gardiner ; illustrated by Greg Hargreaves"</f>
        <v>John Reynolds Gardiner ; illustrated by Greg Hargreaves</v>
      </c>
      <c r="G3003" s="3" t="str">
        <f>"Harper"</f>
        <v>Harper</v>
      </c>
      <c r="H3003" s="2" t="str">
        <f>"2003"</f>
        <v>2003</v>
      </c>
      <c r="I3003" s="3" t="str">
        <f>""</f>
        <v/>
      </c>
    </row>
    <row r="3004" spans="1:9" x14ac:dyDescent="0.3">
      <c r="A3004" s="2">
        <v>3003</v>
      </c>
      <c r="B3004" s="4" t="s">
        <v>41</v>
      </c>
      <c r="C3004" s="3" t="str">
        <f>"TFC000001986"</f>
        <v>TFC000001986</v>
      </c>
      <c r="D3004" s="3" t="str">
        <f>"F800-20-2201-(AR 4.0)"</f>
        <v>F800-20-2201-(AR 4.0)</v>
      </c>
      <c r="E3004" s="3" t="str">
        <f>"John Henry"</f>
        <v>John Henry</v>
      </c>
      <c r="F3004" s="3" t="str">
        <f>"by Julius Lester ; pictures by Jerry Pinkney"</f>
        <v>by Julius Lester ; pictures by Jerry Pinkney</v>
      </c>
      <c r="G3004" s="3" t="str">
        <f>"Puffin Books"</f>
        <v>Puffin Books</v>
      </c>
      <c r="H3004" s="2" t="str">
        <f>"1999"</f>
        <v>1999</v>
      </c>
      <c r="I3004" s="3" t="str">
        <f>""</f>
        <v/>
      </c>
    </row>
    <row r="3005" spans="1:9" x14ac:dyDescent="0.3">
      <c r="A3005" s="2">
        <v>3004</v>
      </c>
      <c r="B3005" s="4" t="s">
        <v>41</v>
      </c>
      <c r="C3005" s="3" t="str">
        <f>"TFC000001987"</f>
        <v>TFC000001987</v>
      </c>
      <c r="D3005" s="3" t="str">
        <f>"F800-20-2202-(AR 4.0)"</f>
        <v>F800-20-2202-(AR 4.0)</v>
      </c>
      <c r="E3005" s="3" t="str">
        <f>"(The tale of)Mr. Jeremy Fisher"</f>
        <v>(The tale of)Mr. Jeremy Fisher</v>
      </c>
      <c r="F3005" s="3" t="str">
        <f>"Beatrix Potter"</f>
        <v>Beatrix Potter</v>
      </c>
      <c r="G3005" s="3" t="str">
        <f>"Frederick Warne"</f>
        <v>Frederick Warne</v>
      </c>
      <c r="H3005" s="2" t="str">
        <f>"2002"</f>
        <v>2002</v>
      </c>
      <c r="I3005" s="3" t="str">
        <f>""</f>
        <v/>
      </c>
    </row>
    <row r="3006" spans="1:9" x14ac:dyDescent="0.3">
      <c r="A3006" s="2">
        <v>3005</v>
      </c>
      <c r="B3006" s="4" t="s">
        <v>41</v>
      </c>
      <c r="C3006" s="3" t="str">
        <f>"TFC000001989"</f>
        <v>TFC000001989</v>
      </c>
      <c r="D3006" s="3" t="str">
        <f>"F800-20-2204-(AR 4.0)"</f>
        <v>F800-20-2204-(AR 4.0)</v>
      </c>
      <c r="E3006" s="3" t="str">
        <f>"Song and dance man"</f>
        <v>Song and dance man</v>
      </c>
      <c r="F3006" s="3" t="str">
        <f>"by Karen Ackerman ; illustrated by Stephen Gammell"</f>
        <v>by Karen Ackerman ; illustrated by Stephen Gammell</v>
      </c>
      <c r="G3006" s="3" t="str">
        <f>"Dragonfly Books"</f>
        <v>Dragonfly Books</v>
      </c>
      <c r="H3006" s="2" t="str">
        <f>"1988"</f>
        <v>1988</v>
      </c>
      <c r="I3006" s="3" t="str">
        <f>""</f>
        <v/>
      </c>
    </row>
    <row r="3007" spans="1:9" x14ac:dyDescent="0.3">
      <c r="A3007" s="2">
        <v>3006</v>
      </c>
      <c r="B3007" s="4" t="s">
        <v>41</v>
      </c>
      <c r="C3007" s="3" t="str">
        <f>"TFC000001990"</f>
        <v>TFC000001990</v>
      </c>
      <c r="D3007" s="3" t="str">
        <f>"F800-20-2205-(AR 4.0)"</f>
        <v>F800-20-2205-(AR 4.0)</v>
      </c>
      <c r="E3007" s="3" t="str">
        <f>"(The)absolutely true diary of a part-time Indian"</f>
        <v>(The)absolutely true diary of a part-time Indian</v>
      </c>
      <c r="F3007" s="3" t="str">
        <f>"by Sherman Alexie ; art by Ellen Forney"</f>
        <v>by Sherman Alexie ; art by Ellen Forney</v>
      </c>
      <c r="G3007" s="3" t="str">
        <f>"Little, Brown and Company"</f>
        <v>Little, Brown and Company</v>
      </c>
      <c r="H3007" s="2" t="str">
        <f>"2009"</f>
        <v>2009</v>
      </c>
      <c r="I3007" s="3" t="str">
        <f>""</f>
        <v/>
      </c>
    </row>
    <row r="3008" spans="1:9" x14ac:dyDescent="0.3">
      <c r="A3008" s="2">
        <v>3007</v>
      </c>
      <c r="B3008" s="4" t="s">
        <v>41</v>
      </c>
      <c r="C3008" s="3" t="str">
        <f>"TFC000001991"</f>
        <v>TFC000001991</v>
      </c>
      <c r="D3008" s="3" t="str">
        <f>"F800-20-2206-(AR 4.0)"</f>
        <v>F800-20-2206-(AR 4.0)</v>
      </c>
      <c r="E3008" s="3" t="str">
        <f>"(The)garden of abdul gasazi"</f>
        <v>(The)garden of abdul gasazi</v>
      </c>
      <c r="F3008" s="3" t="str">
        <f>"written and illustrated by Chris Van Allsburg"</f>
        <v>written and illustrated by Chris Van Allsburg</v>
      </c>
      <c r="G3008" s="3" t="str">
        <f>"Houghton Mifflin Company"</f>
        <v>Houghton Mifflin Company</v>
      </c>
      <c r="H3008" s="2" t="str">
        <f>"1979"</f>
        <v>1979</v>
      </c>
      <c r="I3008" s="3" t="str">
        <f>""</f>
        <v/>
      </c>
    </row>
    <row r="3009" spans="1:9" x14ac:dyDescent="0.3">
      <c r="A3009" s="2">
        <v>3008</v>
      </c>
      <c r="B3009" s="4" t="s">
        <v>41</v>
      </c>
      <c r="C3009" s="3" t="str">
        <f>"TFC000001992"</f>
        <v>TFC000001992</v>
      </c>
      <c r="D3009" s="3" t="str">
        <f>"F800-20-2207-(AR 4.0)"</f>
        <v>F800-20-2207-(AR 4.0)</v>
      </c>
      <c r="E3009" s="3" t="str">
        <f>"Dead voices"</f>
        <v>Dead voices</v>
      </c>
      <c r="F3009" s="3" t="str">
        <f>"Katherine Arden"</f>
        <v>Katherine Arden</v>
      </c>
      <c r="G3009" s="3" t="str">
        <f>"G. P. Putnam's Sons"</f>
        <v>G. P. Putnam's Sons</v>
      </c>
      <c r="H3009" s="2" t="str">
        <f>"2019"</f>
        <v>2019</v>
      </c>
      <c r="I3009" s="3" t="str">
        <f>""</f>
        <v/>
      </c>
    </row>
    <row r="3010" spans="1:9" x14ac:dyDescent="0.3">
      <c r="A3010" s="2">
        <v>3009</v>
      </c>
      <c r="B3010" s="4" t="s">
        <v>41</v>
      </c>
      <c r="C3010" s="3" t="str">
        <f>"TFC000001993"</f>
        <v>TFC000001993</v>
      </c>
      <c r="D3010" s="3" t="str">
        <f>"F800-20-2208-(AR 4.0)"</f>
        <v>F800-20-2208-(AR 4.0)</v>
      </c>
      <c r="E3010" s="3" t="str">
        <f>"Like nothing amazing ever happened"</f>
        <v>Like nothing amazing ever happened</v>
      </c>
      <c r="F3010" s="3" t="str">
        <f>"Emily Blejwas"</f>
        <v>Emily Blejwas</v>
      </c>
      <c r="G3010" s="3" t="str">
        <f>"Delacorte Press"</f>
        <v>Delacorte Press</v>
      </c>
      <c r="H3010" s="2" t="str">
        <f>"2020"</f>
        <v>2020</v>
      </c>
      <c r="I3010" s="3" t="str">
        <f>""</f>
        <v/>
      </c>
    </row>
    <row r="3011" spans="1:9" x14ac:dyDescent="0.3">
      <c r="A3011" s="2">
        <v>3010</v>
      </c>
      <c r="B3011" s="4" t="s">
        <v>41</v>
      </c>
      <c r="C3011" s="3" t="str">
        <f>"TFC000001994"</f>
        <v>TFC000001994</v>
      </c>
      <c r="D3011" s="3" t="str">
        <f>"F800-20-2209-(AR 4.0)"</f>
        <v>F800-20-2209-(AR 4.0)</v>
      </c>
      <c r="E3011" s="3" t="str">
        <f>"(The)Unbelievable Oliver and the Four Jokers"</f>
        <v>(The)Unbelievable Oliver and the Four Jokers</v>
      </c>
      <c r="F3011" s="3" t="str">
        <f>"written by Pseudonymous Bosch ; illustrated by Shane Pangburn"</f>
        <v>written by Pseudonymous Bosch ; illustrated by Shane Pangburn</v>
      </c>
      <c r="G3011" s="3" t="str">
        <f>"Dial Books for Young Readers"</f>
        <v>Dial Books for Young Readers</v>
      </c>
      <c r="H3011" s="2" t="str">
        <f>"2019"</f>
        <v>2019</v>
      </c>
      <c r="I3011" s="3" t="str">
        <f>""</f>
        <v/>
      </c>
    </row>
    <row r="3012" spans="1:9" x14ac:dyDescent="0.3">
      <c r="A3012" s="2">
        <v>3011</v>
      </c>
      <c r="B3012" s="4" t="s">
        <v>41</v>
      </c>
      <c r="C3012" s="3" t="str">
        <f>"TFC000001995"</f>
        <v>TFC000001995</v>
      </c>
      <c r="D3012" s="3" t="str">
        <f>"F800-20-2210-(AR 4.0)"</f>
        <v>F800-20-2210-(AR 4.0)</v>
      </c>
      <c r="E3012" s="3" t="str">
        <f>"Circle of gold"</f>
        <v>Circle of gold</v>
      </c>
      <c r="F3012" s="3" t="str">
        <f>"Candy Dawson Boyd"</f>
        <v>Candy Dawson Boyd</v>
      </c>
      <c r="G3012" s="3" t="str">
        <f>"Scholastic"</f>
        <v>Scholastic</v>
      </c>
      <c r="H3012" s="2" t="str">
        <f>"1984"</f>
        <v>1984</v>
      </c>
      <c r="I3012" s="3" t="str">
        <f>""</f>
        <v/>
      </c>
    </row>
    <row r="3013" spans="1:9" x14ac:dyDescent="0.3">
      <c r="A3013" s="2">
        <v>3012</v>
      </c>
      <c r="B3013" s="4" t="s">
        <v>41</v>
      </c>
      <c r="C3013" s="3" t="str">
        <f>"TFC000001996"</f>
        <v>TFC000001996</v>
      </c>
      <c r="D3013" s="3" t="str">
        <f>"F800-20-2211-(AR 4.0)"</f>
        <v>F800-20-2211-(AR 4.0)</v>
      </c>
      <c r="E3013" s="3" t="str">
        <f>"Toby's story : a dog's purpose puppy tale"</f>
        <v>Toby's story : a dog's purpose puppy tale</v>
      </c>
      <c r="F3013" s="3" t="str">
        <f>"W. Bruce Cameron ; illustrations by Richard Cowdrey"</f>
        <v>W. Bruce Cameron ; illustrations by Richard Cowdrey</v>
      </c>
      <c r="G3013" s="3" t="str">
        <f>"Starscape"</f>
        <v>Starscape</v>
      </c>
      <c r="H3013" s="2" t="str">
        <f>"2019"</f>
        <v>2019</v>
      </c>
      <c r="I3013" s="3" t="str">
        <f>""</f>
        <v/>
      </c>
    </row>
    <row r="3014" spans="1:9" x14ac:dyDescent="0.3">
      <c r="A3014" s="2">
        <v>3013</v>
      </c>
      <c r="B3014" s="4" t="s">
        <v>41</v>
      </c>
      <c r="C3014" s="3" t="str">
        <f>"TFC000001997"</f>
        <v>TFC000001997</v>
      </c>
      <c r="D3014" s="3" t="str">
        <f>"F800-20-2212-(AR 4.0)"</f>
        <v>F800-20-2212-(AR 4.0)</v>
      </c>
      <c r="E3014" s="3" t="str">
        <f>"(A)home for goddesses and dogs"</f>
        <v>(A)home for goddesses and dogs</v>
      </c>
      <c r="F3014" s="3" t="str">
        <f>"Leslie Connor"</f>
        <v>Leslie Connor</v>
      </c>
      <c r="G3014" s="3" t="str">
        <f>"Katherine Tegen Books"</f>
        <v>Katherine Tegen Books</v>
      </c>
      <c r="H3014" s="2" t="str">
        <f>"2020"</f>
        <v>2020</v>
      </c>
      <c r="I3014" s="3" t="str">
        <f>""</f>
        <v/>
      </c>
    </row>
    <row r="3015" spans="1:9" x14ac:dyDescent="0.3">
      <c r="A3015" s="2">
        <v>3014</v>
      </c>
      <c r="B3015" s="4" t="s">
        <v>41</v>
      </c>
      <c r="C3015" s="3" t="str">
        <f>"TFC000001998"</f>
        <v>TFC000001998</v>
      </c>
      <c r="D3015" s="3" t="str">
        <f>"F800-20-2213-(AR 4.0)"</f>
        <v>F800-20-2213-(AR 4.0)</v>
      </c>
      <c r="E3015" s="3" t="str">
        <f>"(The)tiger rising"</f>
        <v>(The)tiger rising</v>
      </c>
      <c r="F3015" s="3" t="str">
        <f>"Kate DiCamillo"</f>
        <v>Kate DiCamillo</v>
      </c>
      <c r="G3015" s="3" t="str">
        <f>"Candlewick Press"</f>
        <v>Candlewick Press</v>
      </c>
      <c r="H3015" s="2" t="str">
        <f>"2015"</f>
        <v>2015</v>
      </c>
      <c r="I3015" s="3" t="str">
        <f>""</f>
        <v/>
      </c>
    </row>
    <row r="3016" spans="1:9" x14ac:dyDescent="0.3">
      <c r="A3016" s="2">
        <v>3015</v>
      </c>
      <c r="B3016" s="4" t="s">
        <v>41</v>
      </c>
      <c r="C3016" s="3" t="str">
        <f>"TFC000001999"</f>
        <v>TFC000001999</v>
      </c>
      <c r="D3016" s="3" t="str">
        <f>"F800-20-2214-(AR 4.0)"</f>
        <v>F800-20-2214-(AR 4.0)</v>
      </c>
      <c r="E3016" s="3" t="str">
        <f>"Love and the rocking chair"</f>
        <v>Love and the rocking chair</v>
      </c>
      <c r="F3016" s="3" t="str">
        <f>"Leo Dillon, Diane Dillon"</f>
        <v>Leo Dillon, Diane Dillon</v>
      </c>
      <c r="G3016" s="3" t="str">
        <f>"Blue Sky Press"</f>
        <v>Blue Sky Press</v>
      </c>
      <c r="H3016" s="2" t="str">
        <f>"2019"</f>
        <v>2019</v>
      </c>
      <c r="I3016" s="3" t="str">
        <f>""</f>
        <v/>
      </c>
    </row>
    <row r="3017" spans="1:9" x14ac:dyDescent="0.3">
      <c r="A3017" s="2">
        <v>3016</v>
      </c>
      <c r="B3017" s="4" t="s">
        <v>41</v>
      </c>
      <c r="C3017" s="3" t="str">
        <f>"TFC000002001"</f>
        <v>TFC000002001</v>
      </c>
      <c r="D3017" s="3" t="str">
        <f>"F800-20-2216-(AR 4.0)"</f>
        <v>F800-20-2216-(AR 4.0)</v>
      </c>
      <c r="E3017" s="3" t="str">
        <f>"Miss holly is too Jolly!"</f>
        <v>Miss holly is too Jolly!</v>
      </c>
      <c r="F3017" s="3" t="str">
        <f>"Dan Gutman ; pictures by Jim Paillot"</f>
        <v>Dan Gutman ; pictures by Jim Paillot</v>
      </c>
      <c r="G3017" s="3" t="str">
        <f>"HarperTrophy"</f>
        <v>HarperTrophy</v>
      </c>
      <c r="H3017" s="2" t="str">
        <f>"2007"</f>
        <v>2007</v>
      </c>
      <c r="I3017" s="3" t="str">
        <f>""</f>
        <v/>
      </c>
    </row>
    <row r="3018" spans="1:9" x14ac:dyDescent="0.3">
      <c r="A3018" s="2">
        <v>3017</v>
      </c>
      <c r="B3018" s="4" t="s">
        <v>41</v>
      </c>
      <c r="C3018" s="3" t="str">
        <f>"TFC000002002"</f>
        <v>TFC000002002</v>
      </c>
      <c r="D3018" s="3" t="str">
        <f>"F800-20-2217-(AR 4.0)"</f>
        <v>F800-20-2217-(AR 4.0)</v>
      </c>
      <c r="E3018" s="3" t="str">
        <f>"Amelia's itchy-twitchy, lovey-dovey summer at Camp Mosquito"</f>
        <v>Amelia's itchy-twitchy, lovey-dovey summer at Camp Mosquito</v>
      </c>
      <c r="F3018" s="3" t="str">
        <f>"by Marissa Moss"</f>
        <v>by Marissa Moss</v>
      </c>
      <c r="G3018" s="3" t="str">
        <f>"Simon &amp; Schuster Books for Young Readers"</f>
        <v>Simon &amp; Schuster Books for Young Readers</v>
      </c>
      <c r="H3018" s="2" t="str">
        <f>"2008"</f>
        <v>2008</v>
      </c>
      <c r="I3018" s="3" t="str">
        <f>""</f>
        <v/>
      </c>
    </row>
    <row r="3019" spans="1:9" x14ac:dyDescent="0.3">
      <c r="A3019" s="2">
        <v>3018</v>
      </c>
      <c r="B3019" s="4" t="s">
        <v>41</v>
      </c>
      <c r="C3019" s="3" t="str">
        <f>"TFC000002003"</f>
        <v>TFC000002003</v>
      </c>
      <c r="D3019" s="3" t="str">
        <f>"F800-20-2218-(AR 4.0)"</f>
        <v>F800-20-2218-(AR 4.0)</v>
      </c>
      <c r="E3019" s="3" t="str">
        <f>"Amelia's book of notes and note passing : a note noteboook"</f>
        <v>Amelia's book of notes and note passing : a note noteboook</v>
      </c>
      <c r="F3019" s="3" t="str">
        <f>"by Marissa Moss"</f>
        <v>by Marissa Moss</v>
      </c>
      <c r="G3019" s="3" t="str">
        <f>"Simon &amp; Schuster Books for Young Readers"</f>
        <v>Simon &amp; Schuster Books for Young Readers</v>
      </c>
      <c r="H3019" s="2" t="str">
        <f>"2006"</f>
        <v>2006</v>
      </c>
      <c r="I3019" s="3" t="str">
        <f>""</f>
        <v/>
      </c>
    </row>
    <row r="3020" spans="1:9" x14ac:dyDescent="0.3">
      <c r="A3020" s="2">
        <v>3019</v>
      </c>
      <c r="B3020" s="4" t="s">
        <v>41</v>
      </c>
      <c r="C3020" s="3" t="str">
        <f>"TFC000002004"</f>
        <v>TFC000002004</v>
      </c>
      <c r="D3020" s="3" t="str">
        <f>"F800-20-2219-(AR 4.0)"</f>
        <v>F800-20-2219-(AR 4.0)</v>
      </c>
      <c r="E3020" s="3" t="str">
        <f>"Amelia's longest, biggest, most-fights-ever family reunion : and daughter, sister, half-sister, niece, cousin, stepdaughter, granddaughter Amelia!"</f>
        <v>Amelia's longest, biggest, most-fights-ever family reunion : and daughter, sister, half-sister, niece, cousin, stepdaughter, granddaughter Amelia!</v>
      </c>
      <c r="F3020" s="3" t="str">
        <f>"by Marissa Moss"</f>
        <v>by Marissa Moss</v>
      </c>
      <c r="G3020" s="3" t="str">
        <f>"Simon &amp; Schuster Books for Young Readers"</f>
        <v>Simon &amp; Schuster Books for Young Readers</v>
      </c>
      <c r="H3020" s="2" t="str">
        <f>"2006"</f>
        <v>2006</v>
      </c>
      <c r="I3020" s="3" t="str">
        <f>""</f>
        <v/>
      </c>
    </row>
    <row r="3021" spans="1:9" x14ac:dyDescent="0.3">
      <c r="A3021" s="2">
        <v>3020</v>
      </c>
      <c r="B3021" s="4" t="s">
        <v>41</v>
      </c>
      <c r="C3021" s="3" t="str">
        <f>"TFC000002006"</f>
        <v>TFC000002006</v>
      </c>
      <c r="D3021" s="3" t="str">
        <f>"F800-20-2221-(AR 4.0)"</f>
        <v>F800-20-2221-(AR 4.0)</v>
      </c>
      <c r="E3021" s="3" t="str">
        <f>"Night of the new magicians"</f>
        <v>Night of the new magicians</v>
      </c>
      <c r="F3021" s="3" t="str">
        <f>"by Mary Pope Osborne ; illustrated by Sal Murdocca"</f>
        <v>by Mary Pope Osborne ; illustrated by Sal Murdocca</v>
      </c>
      <c r="G3021" s="3" t="str">
        <f>"Random House"</f>
        <v>Random House</v>
      </c>
      <c r="H3021" s="2" t="str">
        <f>"2006"</f>
        <v>2006</v>
      </c>
      <c r="I3021" s="3" t="str">
        <f>""</f>
        <v/>
      </c>
    </row>
    <row r="3022" spans="1:9" x14ac:dyDescent="0.3">
      <c r="A3022" s="2">
        <v>3021</v>
      </c>
      <c r="B3022" s="4" t="s">
        <v>41</v>
      </c>
      <c r="C3022" s="3" t="str">
        <f>"TFC000002007"</f>
        <v>TFC000002007</v>
      </c>
      <c r="D3022" s="3" t="str">
        <f>"F800-20-2222-(AR 4.0)"</f>
        <v>F800-20-2222-(AR 4.0)</v>
      </c>
      <c r="E3022" s="3" t="str">
        <f>"Night of the ninth dragon"</f>
        <v>Night of the ninth dragon</v>
      </c>
      <c r="F3022" s="3" t="str">
        <f>"by Mary Pope Osborne ; illustrated by Sal Murdocca"</f>
        <v>by Mary Pope Osborne ; illustrated by Sal Murdocca</v>
      </c>
      <c r="G3022" s="3" t="str">
        <f>"Random House"</f>
        <v>Random House</v>
      </c>
      <c r="H3022" s="2" t="str">
        <f>"2016"</f>
        <v>2016</v>
      </c>
      <c r="I3022" s="3" t="str">
        <f>""</f>
        <v/>
      </c>
    </row>
    <row r="3023" spans="1:9" x14ac:dyDescent="0.3">
      <c r="A3023" s="2">
        <v>3022</v>
      </c>
      <c r="B3023" s="4" t="s">
        <v>41</v>
      </c>
      <c r="C3023" s="3" t="str">
        <f>"TFC000002008"</f>
        <v>TFC000002008</v>
      </c>
      <c r="D3023" s="3" t="str">
        <f>"F800-20-2223-(AR 4.0)"</f>
        <v>F800-20-2223-(AR 4.0)</v>
      </c>
      <c r="E3023" s="3" t="str">
        <f>"(The)brilliant world of Tom Gates"</f>
        <v>(The)brilliant world of Tom Gates</v>
      </c>
      <c r="F3023" s="3" t="str">
        <f>"by Liz Pichon"</f>
        <v>by Liz Pichon</v>
      </c>
      <c r="G3023" s="3" t="str">
        <f>"Candlewick Press"</f>
        <v>Candlewick Press</v>
      </c>
      <c r="H3023" s="2" t="str">
        <f>"2015"</f>
        <v>2015</v>
      </c>
      <c r="I3023" s="3" t="str">
        <f>""</f>
        <v/>
      </c>
    </row>
    <row r="3024" spans="1:9" x14ac:dyDescent="0.3">
      <c r="A3024" s="2">
        <v>3023</v>
      </c>
      <c r="B3024" s="4" t="s">
        <v>41</v>
      </c>
      <c r="C3024" s="3" t="str">
        <f>"TFC000002009"</f>
        <v>TFC000002009</v>
      </c>
      <c r="D3024" s="3" t="str">
        <f>"F800-20-2224-(AR 4.0)"</f>
        <v>F800-20-2224-(AR 4.0)</v>
      </c>
      <c r="E3024" s="3" t="str">
        <f>"Super good skills (almost)"</f>
        <v>Super good skills (almost)</v>
      </c>
      <c r="F3024" s="3" t="str">
        <f>"by Liz Pichon"</f>
        <v>by Liz Pichon</v>
      </c>
      <c r="G3024" s="3" t="str">
        <f>"Scholastic"</f>
        <v>Scholastic</v>
      </c>
      <c r="H3024" s="2" t="str">
        <f>"2019"</f>
        <v>2019</v>
      </c>
      <c r="I3024" s="3" t="str">
        <f>""</f>
        <v/>
      </c>
    </row>
    <row r="3025" spans="1:9" x14ac:dyDescent="0.3">
      <c r="A3025" s="2">
        <v>3024</v>
      </c>
      <c r="B3025" s="4" t="s">
        <v>41</v>
      </c>
      <c r="C3025" s="3" t="str">
        <f>"TFC000002010"</f>
        <v>TFC000002010</v>
      </c>
      <c r="D3025" s="3" t="str">
        <f>"F800-20-2225-(AR 4.0)"</f>
        <v>F800-20-2225-(AR 4.0)</v>
      </c>
      <c r="E3025" s="3" t="str">
        <f>"(The)missing mummy"</f>
        <v>(The)missing mummy</v>
      </c>
      <c r="F3025" s="3" t="str">
        <f>"by Ron Roy ; illustrated by John Steven Gurney"</f>
        <v>by Ron Roy ; illustrated by John Steven Gurney</v>
      </c>
      <c r="G3025" s="3" t="str">
        <f>"Random House"</f>
        <v>Random House</v>
      </c>
      <c r="H3025" s="2" t="str">
        <f>"2015"</f>
        <v>2015</v>
      </c>
      <c r="I3025" s="3" t="str">
        <f>""</f>
        <v/>
      </c>
    </row>
    <row r="3026" spans="1:9" x14ac:dyDescent="0.3">
      <c r="A3026" s="2">
        <v>3025</v>
      </c>
      <c r="B3026" s="4" t="s">
        <v>41</v>
      </c>
      <c r="C3026" s="3" t="str">
        <f>"TFC000002011"</f>
        <v>TFC000002011</v>
      </c>
      <c r="D3026" s="3" t="str">
        <f>"F800-20-2226-(AR 4.0)"</f>
        <v>F800-20-2226-(AR 4.0)</v>
      </c>
      <c r="E3026" s="3" t="str">
        <f>"Stage fright"</f>
        <v>Stage fright</v>
      </c>
      <c r="F3026" s="3" t="str">
        <f>"Paul Stewart ; adapted by Gill Harvey ; illustrated by Alan Marks"</f>
        <v>Paul Stewart ; adapted by Gill Harvey ; illustrated by Alan Marks</v>
      </c>
      <c r="G3026" s="3" t="str">
        <f>"Usborne"</f>
        <v>Usborne</v>
      </c>
      <c r="H3026" s="2" t="str">
        <f>"2007"</f>
        <v>2007</v>
      </c>
      <c r="I3026" s="3" t="str">
        <f>""</f>
        <v/>
      </c>
    </row>
    <row r="3027" spans="1:9" x14ac:dyDescent="0.3">
      <c r="A3027" s="2">
        <v>3026</v>
      </c>
      <c r="B3027" s="4" t="s">
        <v>41</v>
      </c>
      <c r="C3027" s="3" t="str">
        <f>"TFC000002012"</f>
        <v>TFC000002012</v>
      </c>
      <c r="D3027" s="3" t="str">
        <f>"F800-20-2227-(AR 4.0)"</f>
        <v>F800-20-2227-(AR 4.0)</v>
      </c>
      <c r="E3027" s="3" t="str">
        <f>"(The)39 clues. 6, in too deep"</f>
        <v>(The)39 clues. 6, in too deep</v>
      </c>
      <c r="F3027" s="3" t="str">
        <f>"Jude Watson"</f>
        <v>Jude Watson</v>
      </c>
      <c r="G3027" s="3" t="str">
        <f>"Scholastic"</f>
        <v>Scholastic</v>
      </c>
      <c r="H3027" s="2" t="str">
        <f>"2009"</f>
        <v>2009</v>
      </c>
      <c r="I3027" s="3" t="str">
        <f>""</f>
        <v/>
      </c>
    </row>
    <row r="3028" spans="1:9" x14ac:dyDescent="0.3">
      <c r="A3028" s="2">
        <v>3027</v>
      </c>
      <c r="B3028" s="4" t="s">
        <v>41</v>
      </c>
      <c r="C3028" s="3" t="str">
        <f>"TFC000002013"</f>
        <v>TFC000002013</v>
      </c>
      <c r="D3028" s="3" t="str">
        <f>"F800-20-2228-(AR 4.0)"</f>
        <v>F800-20-2228-(AR 4.0)</v>
      </c>
      <c r="E3028" s="3" t="str">
        <f>"Rumpelstiltskin : from the German of the Brothers Grimm"</f>
        <v>Rumpelstiltskin : from the German of the Brothers Grimm</v>
      </c>
      <c r="F3028" s="3" t="str">
        <f>"[Brothers Grimm] ; retold &amp; illustrated by Paul O. Zelinsky"</f>
        <v>[Brothers Grimm] ; retold &amp; illustrated by Paul O. Zelinsky</v>
      </c>
      <c r="G3028" s="3" t="str">
        <f>"Dutton Children's Books"</f>
        <v>Dutton Children's Books</v>
      </c>
      <c r="H3028" s="2" t="str">
        <f>"1986"</f>
        <v>1986</v>
      </c>
      <c r="I3028" s="3" t="str">
        <f>""</f>
        <v/>
      </c>
    </row>
    <row r="3029" spans="1:9" x14ac:dyDescent="0.3">
      <c r="A3029" s="2">
        <v>3028</v>
      </c>
      <c r="B3029" s="4" t="s">
        <v>41</v>
      </c>
      <c r="C3029" s="3" t="str">
        <f>"TFC000002014"</f>
        <v>TFC000002014</v>
      </c>
      <c r="D3029" s="3" t="str">
        <f>"F800-20-2229-(AR 4.0)"</f>
        <v>F800-20-2229-(AR 4.0)</v>
      </c>
      <c r="E3029" s="3" t="str">
        <f>"Rumpelstiltskin : from the German of the Brothers Grimm"</f>
        <v>Rumpelstiltskin : from the German of the Brothers Grimm</v>
      </c>
      <c r="F3029" s="3" t="str">
        <f>"Brothers Grimm ; retold &amp; illustrated by Paul O. Zelinsky"</f>
        <v>Brothers Grimm ; retold &amp; illustrated by Paul O. Zelinsky</v>
      </c>
      <c r="G3029" s="3" t="str">
        <f>"Puffin Books"</f>
        <v>Puffin Books</v>
      </c>
      <c r="H3029" s="2" t="str">
        <f>"2009"</f>
        <v>2009</v>
      </c>
      <c r="I3029" s="3" t="str">
        <f>""</f>
        <v/>
      </c>
    </row>
    <row r="3030" spans="1:9" x14ac:dyDescent="0.3">
      <c r="A3030" s="2">
        <v>3029</v>
      </c>
      <c r="B3030" s="4" t="s">
        <v>41</v>
      </c>
      <c r="C3030" s="3" t="str">
        <f>"TFC000002015"</f>
        <v>TFC000002015</v>
      </c>
      <c r="D3030" s="3" t="str">
        <f>"F800-20-2230-(AR 4.0)"</f>
        <v>F800-20-2230-(AR 4.0)</v>
      </c>
      <c r="E3030" s="3" t="str">
        <f>"(The)race across America"</f>
        <v>(The)race across America</v>
      </c>
      <c r="F3030" s="3" t="str">
        <f>"Geronimo Stilton ; illustrations by Danilo Barozzi,  Francesco Castelli, Christian Aliprandi"</f>
        <v>Geronimo Stilton ; illustrations by Danilo Barozzi,  Francesco Castelli, Christian Aliprandi</v>
      </c>
      <c r="G3030" s="3" t="str">
        <f>"Scholastic"</f>
        <v>Scholastic</v>
      </c>
      <c r="H3030" s="2" t="str">
        <f>"2009"</f>
        <v>2009</v>
      </c>
      <c r="I3030" s="3" t="str">
        <f>""</f>
        <v/>
      </c>
    </row>
    <row r="3031" spans="1:9" x14ac:dyDescent="0.3">
      <c r="A3031" s="2">
        <v>3030</v>
      </c>
      <c r="B3031" s="4" t="s">
        <v>41</v>
      </c>
      <c r="C3031" s="3" t="str">
        <f>"TFC000002016"</f>
        <v>TFC000002016</v>
      </c>
      <c r="D3031" s="3" t="str">
        <f>"F800-20-2231-(AR 4.0)"</f>
        <v>F800-20-2231-(AR 4.0)</v>
      </c>
      <c r="E3031" s="3" t="str">
        <f>"(The)karate mouse"</f>
        <v>(The)karate mouse</v>
      </c>
      <c r="F3031" s="3" t="str">
        <f>"Geronimo Stilton ; illustrations by Federico Brusco, Valentina Grassini, Chiara Sacchi"</f>
        <v>Geronimo Stilton ; illustrations by Federico Brusco, Valentina Grassini, Chiara Sacchi</v>
      </c>
      <c r="G3031" s="3" t="str">
        <f>"Scholastic"</f>
        <v>Scholastic</v>
      </c>
      <c r="H3031" s="2" t="str">
        <f>"2010"</f>
        <v>2010</v>
      </c>
      <c r="I3031" s="3" t="str">
        <f>""</f>
        <v/>
      </c>
    </row>
    <row r="3032" spans="1:9" x14ac:dyDescent="0.3">
      <c r="A3032" s="2">
        <v>3031</v>
      </c>
      <c r="B3032" s="4" t="s">
        <v>41</v>
      </c>
      <c r="C3032" s="3" t="str">
        <f>"TFC000002017"</f>
        <v>TFC000002017</v>
      </c>
      <c r="D3032" s="3" t="str">
        <f>"F800-20-2232-(AR 4.0)"</f>
        <v>F800-20-2232-(AR 4.0)</v>
      </c>
      <c r="E3032" s="3" t="str">
        <f>"Thea Stilton and the mountain of fire"</f>
        <v>Thea Stilton and the mountain of fire</v>
      </c>
      <c r="F3032" s="3" t="str">
        <f>"text by Thea Stilton ; illustrations by Massimo Asaro [et al.]"</f>
        <v>text by Thea Stilton ; illustrations by Massimo Asaro [et al.]</v>
      </c>
      <c r="G3032" s="3" t="str">
        <f>"Scholastic"</f>
        <v>Scholastic</v>
      </c>
      <c r="H3032" s="2" t="str">
        <f>"2009"</f>
        <v>2009</v>
      </c>
      <c r="I3032" s="3" t="str">
        <f>""</f>
        <v/>
      </c>
    </row>
    <row r="3033" spans="1:9" x14ac:dyDescent="0.3">
      <c r="A3033" s="2">
        <v>3032</v>
      </c>
      <c r="B3033" s="4" t="s">
        <v>41</v>
      </c>
      <c r="C3033" s="3" t="str">
        <f>"TFC000002018"</f>
        <v>TFC000002018</v>
      </c>
      <c r="D3033" s="3" t="str">
        <f>"F900-20-2242-(AR 4.0)"</f>
        <v>F900-20-2242-(AR 4.0)</v>
      </c>
      <c r="E3033" s="3" t="str">
        <f>"Finding the Titanic"</f>
        <v>Finding the Titanic</v>
      </c>
      <c r="F3033" s="3" t="str">
        <f>"by Robert D. Ballard, Nan Froman ; paintings by Ken Marschall"</f>
        <v>by Robert D. Ballard, Nan Froman ; paintings by Ken Marschall</v>
      </c>
      <c r="G3033" s="3" t="str">
        <f>"Scholastic"</f>
        <v>Scholastic</v>
      </c>
      <c r="H3033" s="2" t="str">
        <f>"2003"</f>
        <v>2003</v>
      </c>
      <c r="I3033" s="3" t="str">
        <f>""</f>
        <v/>
      </c>
    </row>
    <row r="3034" spans="1:9" x14ac:dyDescent="0.3">
      <c r="A3034" s="2">
        <v>3033</v>
      </c>
      <c r="B3034" s="4" t="s">
        <v>41</v>
      </c>
      <c r="C3034" s="3" t="str">
        <f>"TFC000002896"</f>
        <v>TFC000002896</v>
      </c>
      <c r="D3034" s="3" t="str">
        <f>"F800-20-2233-(AR 4.0)"</f>
        <v>F800-20-2233-(AR 4.0)</v>
      </c>
      <c r="E3034" s="3" t="str">
        <f>"Johnny Appleseed"</f>
        <v>Johnny Appleseed</v>
      </c>
      <c r="F3034" s="3" t="str">
        <f>"by Eva Moore ; pictures by Beatrice Darwin"</f>
        <v>by Eva Moore ; pictures by Beatrice Darwin</v>
      </c>
      <c r="G3034" s="3" t="str">
        <f>"Scholastic"</f>
        <v>Scholastic</v>
      </c>
      <c r="H3034" s="2" t="str">
        <f>"1964"</f>
        <v>1964</v>
      </c>
      <c r="I3034" s="3" t="str">
        <f>""</f>
        <v/>
      </c>
    </row>
    <row r="3035" spans="1:9" x14ac:dyDescent="0.3">
      <c r="A3035" s="2">
        <v>3034</v>
      </c>
      <c r="B3035" s="4" t="s">
        <v>41</v>
      </c>
      <c r="C3035" s="3" t="str">
        <f>"TFC000002897"</f>
        <v>TFC000002897</v>
      </c>
      <c r="D3035" s="3" t="str">
        <f>"F800-20-2234-(AR 4.0)"</f>
        <v>F800-20-2234-(AR 4.0)</v>
      </c>
      <c r="E3035" s="3" t="str">
        <f>"Mighty mount Kilimanjaro"</f>
        <v>Mighty mount Kilimanjaro</v>
      </c>
      <c r="F3035" s="3" t="str">
        <f>"Geronimo Stilton ; illustrations by Roberto Ronchi,  Silvia Bigolin"</f>
        <v>Geronimo Stilton ; illustrations by Roberto Ronchi,  Silvia Bigolin</v>
      </c>
      <c r="G3035" s="3" t="str">
        <f>"Scholastic"</f>
        <v>Scholastic</v>
      </c>
      <c r="H3035" s="2" t="str">
        <f>"2010"</f>
        <v>2010</v>
      </c>
      <c r="I3035" s="3" t="str">
        <f>""</f>
        <v/>
      </c>
    </row>
    <row r="3036" spans="1:9" x14ac:dyDescent="0.3">
      <c r="A3036" s="2">
        <v>3035</v>
      </c>
      <c r="B3036" s="4" t="s">
        <v>41</v>
      </c>
      <c r="C3036" s="3" t="str">
        <f>"TFC000002898"</f>
        <v>TFC000002898</v>
      </c>
      <c r="D3036" s="3" t="str">
        <f>"F800-20-2235-(AR 4.0)"</f>
        <v>F800-20-2235-(AR 4.0)</v>
      </c>
      <c r="E3036" s="3" t="str">
        <f>"(The)case of the missing trophy"</f>
        <v>(The)case of the missing trophy</v>
      </c>
      <c r="F3036" s="3" t="str">
        <f>"Angela Shelf Medearis ; illustrated by Robert Papp"</f>
        <v>Angela Shelf Medearis ; illustrated by Robert Papp</v>
      </c>
      <c r="G3036" s="3" t="str">
        <f>"Scholastic"</f>
        <v>Scholastic</v>
      </c>
      <c r="H3036" s="2" t="str">
        <f>"2004"</f>
        <v>2004</v>
      </c>
      <c r="I3036" s="3" t="str">
        <f>""</f>
        <v/>
      </c>
    </row>
    <row r="3037" spans="1:9" x14ac:dyDescent="0.3">
      <c r="A3037" s="2">
        <v>3036</v>
      </c>
      <c r="B3037" s="4" t="s">
        <v>41</v>
      </c>
      <c r="C3037" s="3" t="str">
        <f>"TFC000003020"</f>
        <v>TFC000003020</v>
      </c>
      <c r="D3037" s="3" t="str">
        <f>"F800-20-2236-(AR 4.0)"</f>
        <v>F800-20-2236-(AR 4.0)</v>
      </c>
      <c r="E3037" s="3" t="str">
        <f>"(The)giant from the fire sea"</f>
        <v>(The)giant from the fire sea</v>
      </c>
      <c r="F3037" s="3" t="str">
        <f>"John Himmelman"</f>
        <v>John Himmelman</v>
      </c>
      <c r="G3037" s="3" t="str">
        <f>"St Martin's Press"</f>
        <v>St Martin's Press</v>
      </c>
      <c r="H3037" s="2" t="str">
        <f>"2019"</f>
        <v>2019</v>
      </c>
      <c r="I3037" s="3" t="str">
        <f>""</f>
        <v/>
      </c>
    </row>
    <row r="3038" spans="1:9" x14ac:dyDescent="0.3">
      <c r="A3038" s="2">
        <v>3037</v>
      </c>
      <c r="B3038" s="4" t="s">
        <v>41</v>
      </c>
      <c r="C3038" s="3" t="str">
        <f>"TFC000003059"</f>
        <v>TFC000003059</v>
      </c>
      <c r="D3038" s="3" t="str">
        <f>"F800-20-2237-(AR 4.0)"</f>
        <v>F800-20-2237-(AR 4.0)</v>
      </c>
      <c r="E3038" s="3" t="str">
        <f>"Hurricane Katrina, 2005"</f>
        <v>Hurricane Katrina, 2005</v>
      </c>
      <c r="F3038" s="3" t="str">
        <f>"by Lauren Tarshis ; illustrated by Scott Dawson"</f>
        <v>by Lauren Tarshis ; illustrated by Scott Dawson</v>
      </c>
      <c r="G3038" s="3" t="str">
        <f>"Scholastic"</f>
        <v>Scholastic</v>
      </c>
      <c r="H3038" s="2" t="str">
        <f>"2011"</f>
        <v>2011</v>
      </c>
      <c r="I3038" s="3" t="str">
        <f>""</f>
        <v/>
      </c>
    </row>
    <row r="3039" spans="1:9" x14ac:dyDescent="0.3">
      <c r="A3039" s="2">
        <v>3038</v>
      </c>
      <c r="B3039" s="4" t="s">
        <v>41</v>
      </c>
      <c r="C3039" s="3" t="str">
        <f>"TFC000003077"</f>
        <v>TFC000003077</v>
      </c>
      <c r="D3039" s="3" t="str">
        <f>"F800-20-2238-(AR 4.0)"</f>
        <v>F800-20-2238-(AR 4.0)</v>
      </c>
      <c r="E3039" s="3" t="str">
        <f>"(The)tomtes' christmas porridge(양장본 HardCover)"</f>
        <v>(The)tomtes' christmas porridge(양장본 HardCover)</v>
      </c>
      <c r="F3039" s="3" t="str">
        <f>"Sven Nordqvist ; translated by Polly Lawson"</f>
        <v>Sven Nordqvist ; translated by Polly Lawson</v>
      </c>
      <c r="G3039" s="3" t="str">
        <f>"Floris Books"</f>
        <v>Floris Books</v>
      </c>
      <c r="H3039" s="2" t="str">
        <f>"2018"</f>
        <v>2018</v>
      </c>
      <c r="I3039" s="3" t="str">
        <f>""</f>
        <v/>
      </c>
    </row>
    <row r="3040" spans="1:9" x14ac:dyDescent="0.3">
      <c r="A3040" s="2">
        <v>3039</v>
      </c>
      <c r="B3040" s="4" t="s">
        <v>41</v>
      </c>
      <c r="C3040" s="3" t="str">
        <f>"TFC000003150"</f>
        <v>TFC000003150</v>
      </c>
      <c r="D3040" s="3" t="str">
        <f>"F800-20-2239-(AR 4.0)"</f>
        <v>F800-20-2239-(AR 4.0)</v>
      </c>
      <c r="E3040" s="3" t="str">
        <f>"Captain underpants and the invasion of the incredibly naughty cafeteria ladies from outer space(and the subsequent assault of the equally evil lunchroom zombie nerds)"</f>
        <v>Captain underpants and the invasion of the incredibly naughty cafeteria ladies from outer space(and the subsequent assault of the equally evil lunchroom zombie nerds)</v>
      </c>
      <c r="F3040" s="3" t="str">
        <f>"by Dav Pilkey"</f>
        <v>by Dav Pilkey</v>
      </c>
      <c r="G3040" s="3" t="str">
        <f>"Scholastic"</f>
        <v>Scholastic</v>
      </c>
      <c r="H3040" s="2" t="str">
        <f>"2015, c1999"</f>
        <v>2015, c1999</v>
      </c>
      <c r="I3040" s="3" t="str">
        <f>""</f>
        <v/>
      </c>
    </row>
    <row r="3041" spans="1:9" x14ac:dyDescent="0.3">
      <c r="A3041" s="2">
        <v>3040</v>
      </c>
      <c r="B3041" s="4" t="s">
        <v>41</v>
      </c>
      <c r="C3041" s="3" t="str">
        <f>"TFC000003181"</f>
        <v>TFC000003181</v>
      </c>
      <c r="D3041" s="3" t="str">
        <f>"F800-20-2241-(AR 4.0)"</f>
        <v>F800-20-2241-(AR 4.0)</v>
      </c>
      <c r="E3041" s="3" t="str">
        <f>"(The)last kids on earth and the zombie parade!"</f>
        <v>(The)last kids on earth and the zombie parade!</v>
      </c>
      <c r="F3041" s="3" t="str">
        <f>"Max Brallier ; illustrated by Douglas Holgate"</f>
        <v>Max Brallier ; illustrated by Douglas Holgate</v>
      </c>
      <c r="G3041" s="3" t="str">
        <f>"Viking"</f>
        <v>Viking</v>
      </c>
      <c r="H3041" s="2" t="str">
        <f>"2016"</f>
        <v>2016</v>
      </c>
      <c r="I3041" s="3" t="str">
        <f>""</f>
        <v/>
      </c>
    </row>
    <row r="3042" spans="1:9" x14ac:dyDescent="0.3">
      <c r="A3042" s="2">
        <v>3041</v>
      </c>
      <c r="B3042" s="4" t="s">
        <v>41</v>
      </c>
      <c r="C3042" s="3" t="str">
        <f>"TFC000004288"</f>
        <v>TFC000004288</v>
      </c>
      <c r="D3042" s="3" t="str">
        <f>"F800-22-0065-(AR 4.0)"</f>
        <v>F800-22-0065-(AR 4.0)</v>
      </c>
      <c r="E3042" s="3" t="str">
        <f>"Imaginary Fred"</f>
        <v>Imaginary Fred</v>
      </c>
      <c r="F3042" s="3" t="str">
        <f>"by Eoin Colfer, [illustrated by] Oliver Jeffers"</f>
        <v>by Eoin Colfer, [illustrated by] Oliver Jeffers</v>
      </c>
      <c r="G3042" s="3" t="str">
        <f>"HarperCollins Children's Books"</f>
        <v>HarperCollins Children's Books</v>
      </c>
      <c r="H3042" s="2" t="str">
        <f>"2015"</f>
        <v>2015</v>
      </c>
      <c r="I3042" s="3" t="str">
        <f>""</f>
        <v/>
      </c>
    </row>
    <row r="3043" spans="1:9" x14ac:dyDescent="0.3">
      <c r="A3043" s="2">
        <v>3042</v>
      </c>
      <c r="B3043" s="4" t="s">
        <v>41</v>
      </c>
      <c r="C3043" s="3" t="str">
        <f>"TFC000003389"</f>
        <v>TFC000003389</v>
      </c>
      <c r="D3043" s="3" t="str">
        <f>"F800-21-0735-(AR 4.0)"</f>
        <v>F800-21-0735-(AR 4.0)</v>
      </c>
      <c r="E3043" s="3" t="str">
        <f>"Sabotage"</f>
        <v>Sabotage</v>
      </c>
      <c r="F3043" s="3" t="str">
        <f>"by Shelley Johannes"</f>
        <v>by Shelley Johannes</v>
      </c>
      <c r="G3043" s="3" t="str">
        <f>"Disney·Hyperion"</f>
        <v>Disney·Hyperion</v>
      </c>
      <c r="H3043" s="2" t="str">
        <f>"2020"</f>
        <v>2020</v>
      </c>
      <c r="I3043" s="3" t="str">
        <f>""</f>
        <v/>
      </c>
    </row>
    <row r="3044" spans="1:9" x14ac:dyDescent="0.3">
      <c r="A3044" s="2">
        <v>3043</v>
      </c>
      <c r="B3044" s="4" t="s">
        <v>41</v>
      </c>
      <c r="C3044" s="3" t="str">
        <f>"TFC000003473"</f>
        <v>TFC000003473</v>
      </c>
      <c r="D3044" s="3" t="str">
        <f>"F800-21-0736-(AR 4.0)"</f>
        <v>F800-21-0736-(AR 4.0)</v>
      </c>
      <c r="E3044" s="3" t="str">
        <f>"Claude in the city"</f>
        <v>Claude in the city</v>
      </c>
      <c r="F3044" s="3" t="str">
        <f>"written and illustrated by Alex T. Smith"</f>
        <v>written and illustrated by Alex T. Smith</v>
      </c>
      <c r="G3044" s="3" t="str">
        <f>"Peachtree Publishers"</f>
        <v>Peachtree Publishers</v>
      </c>
      <c r="H3044" s="2" t="str">
        <f>"2015"</f>
        <v>2015</v>
      </c>
      <c r="I3044" s="3" t="str">
        <f>""</f>
        <v/>
      </c>
    </row>
    <row r="3045" spans="1:9" x14ac:dyDescent="0.3">
      <c r="A3045" s="2">
        <v>3044</v>
      </c>
      <c r="B3045" s="4" t="s">
        <v>41</v>
      </c>
      <c r="C3045" s="3" t="str">
        <f>"TFC000003479"</f>
        <v>TFC000003479</v>
      </c>
      <c r="D3045" s="3" t="str">
        <f>"F800-21-0737-(AR 4.0)"</f>
        <v>F800-21-0737-(AR 4.0)</v>
      </c>
      <c r="E3045" s="3" t="str">
        <f>"It happened on a train"</f>
        <v>It happened on a train</v>
      </c>
      <c r="F3045" s="3" t="str">
        <f>"by Mac Barnett ; illustrations by Adam Rex"</f>
        <v>by Mac Barnett ; illustrations by Adam Rex</v>
      </c>
      <c r="G3045" s="3" t="str">
        <f>"Simon &amp; Schuster Books for Young Readers"</f>
        <v>Simon &amp; Schuster Books for Young Readers</v>
      </c>
      <c r="H3045" s="2" t="str">
        <f>"2012"</f>
        <v>2012</v>
      </c>
      <c r="I3045" s="3" t="str">
        <f>""</f>
        <v/>
      </c>
    </row>
    <row r="3046" spans="1:9" x14ac:dyDescent="0.3">
      <c r="A3046" s="2">
        <v>3045</v>
      </c>
      <c r="B3046" s="4" t="s">
        <v>41</v>
      </c>
      <c r="C3046" s="3" t="str">
        <f>"TFC000003520"</f>
        <v>TFC000003520</v>
      </c>
      <c r="D3046" s="3" t="str">
        <f>"F800-21-0738-(AR 4.0)"</f>
        <v>F800-21-0738-(AR 4.0)</v>
      </c>
      <c r="E3046" s="3" t="str">
        <f>"Isadora Moon saves the carnival"</f>
        <v>Isadora Moon saves the carnival</v>
      </c>
      <c r="F3046" s="3" t="str">
        <f>"by Harriet Muncaster"</f>
        <v>by Harriet Muncaster</v>
      </c>
      <c r="G3046" s="3" t="str">
        <f>"Random House"</f>
        <v>Random House</v>
      </c>
      <c r="H3046" s="2" t="str">
        <f>"2018"</f>
        <v>2018</v>
      </c>
      <c r="I3046" s="3" t="str">
        <f>""</f>
        <v/>
      </c>
    </row>
    <row r="3047" spans="1:9" x14ac:dyDescent="0.3">
      <c r="A3047" s="2">
        <v>3046</v>
      </c>
      <c r="B3047" s="4" t="s">
        <v>41</v>
      </c>
      <c r="C3047" s="3" t="str">
        <f>"TFC000003587"</f>
        <v>TFC000003587</v>
      </c>
      <c r="D3047" s="3" t="str">
        <f>"F800-21-0739-(AR 4.0)"</f>
        <v>F800-21-0739-(AR 4.0)</v>
      </c>
      <c r="E3047" s="3" t="str">
        <f>"(The)spiderwick chronicles. 2, The seeing stone"</f>
        <v>(The)spiderwick chronicles. 2, The seeing stone</v>
      </c>
      <c r="F3047" s="3" t="str">
        <f>"by Tony DiTerlizzi and Holly Black"</f>
        <v>by Tony DiTerlizzi and Holly Black</v>
      </c>
      <c r="G3047" s="3" t="str">
        <f>"Simon and Schuster Books for Young Readers"</f>
        <v>Simon and Schuster Books for Young Readers</v>
      </c>
      <c r="H3047" s="2" t="str">
        <f>"2013"</f>
        <v>2013</v>
      </c>
      <c r="I3047" s="3" t="str">
        <f>""</f>
        <v/>
      </c>
    </row>
    <row r="3048" spans="1:9" x14ac:dyDescent="0.3">
      <c r="A3048" s="2">
        <v>3047</v>
      </c>
      <c r="B3048" s="4" t="s">
        <v>41</v>
      </c>
      <c r="C3048" s="3" t="str">
        <f>"TFC000003631"</f>
        <v>TFC000003631</v>
      </c>
      <c r="D3048" s="3" t="str">
        <f>"F800-21-0740-(AR 4.0)"</f>
        <v>F800-21-0740-(AR 4.0)</v>
      </c>
      <c r="E3048" s="3" t="str">
        <f>"(The)election-day disaster"</f>
        <v>(The)election-day disaster</v>
      </c>
      <c r="F3048" s="3" t="str">
        <f>"by Ron Roy ; illustrated by Timothy Bush"</f>
        <v>by Ron Roy ; illustrated by Timothy Bush</v>
      </c>
      <c r="G3048" s="3" t="str">
        <f>"Random House"</f>
        <v>Random House</v>
      </c>
      <c r="H3048" s="2" t="str">
        <f>"2009"</f>
        <v>2009</v>
      </c>
      <c r="I3048" s="3" t="str">
        <f>""</f>
        <v/>
      </c>
    </row>
    <row r="3049" spans="1:9" x14ac:dyDescent="0.3">
      <c r="A3049" s="2">
        <v>3048</v>
      </c>
      <c r="B3049" s="4" t="s">
        <v>41</v>
      </c>
      <c r="C3049" s="3" t="str">
        <f>"TFC000003632"</f>
        <v>TFC000003632</v>
      </c>
      <c r="D3049" s="3" t="str">
        <f>"F800-21-0741-(AR 4.0)"</f>
        <v>F800-21-0741-(AR 4.0)</v>
      </c>
      <c r="E3049" s="3" t="str">
        <f>"(A)thief at the national zoo"</f>
        <v>(A)thief at the national zoo</v>
      </c>
      <c r="F3049" s="3" t="str">
        <f>"by Ron Roy ; illustrated by Timothy Bush"</f>
        <v>by Ron Roy ; illustrated by Timothy Bush</v>
      </c>
      <c r="G3049" s="3" t="str">
        <f>"Random House"</f>
        <v>Random House</v>
      </c>
      <c r="H3049" s="2" t="str">
        <f>"2009"</f>
        <v>2009</v>
      </c>
      <c r="I3049" s="3" t="str">
        <f>""</f>
        <v/>
      </c>
    </row>
    <row r="3050" spans="1:9" x14ac:dyDescent="0.3">
      <c r="A3050" s="2">
        <v>3049</v>
      </c>
      <c r="B3050" s="4" t="s">
        <v>41</v>
      </c>
      <c r="C3050" s="3" t="str">
        <f>"TFC000003730"</f>
        <v>TFC000003730</v>
      </c>
      <c r="D3050" s="3" t="str">
        <f>"F800-21-0743-(AR 4.0)"</f>
        <v>F800-21-0743-(AR 4.0)</v>
      </c>
      <c r="E3050" s="3" t="str">
        <f>"Kitty and the moonlight rescue"</f>
        <v>Kitty and the moonlight rescue</v>
      </c>
      <c r="F3050" s="3" t="str">
        <f>"written by Paula Harrison ; illustrated by Jenny Løvlie"</f>
        <v>written by Paula Harrison ; illustrated by Jenny Løvlie</v>
      </c>
      <c r="G3050" s="3" t="str">
        <f>"Greenwillow Books"</f>
        <v>Greenwillow Books</v>
      </c>
      <c r="H3050" s="2" t="str">
        <f>"2019"</f>
        <v>2019</v>
      </c>
      <c r="I3050" s="3" t="str">
        <f>""</f>
        <v/>
      </c>
    </row>
    <row r="3051" spans="1:9" x14ac:dyDescent="0.3">
      <c r="A3051" s="2">
        <v>3050</v>
      </c>
      <c r="B3051" s="4" t="s">
        <v>41</v>
      </c>
      <c r="C3051" s="3" t="str">
        <f>"TFC000004066"</f>
        <v>TFC000004066</v>
      </c>
      <c r="D3051" s="3" t="str">
        <f>"F800-21-0744-(AR 4.0)"</f>
        <v>F800-21-0744-(AR 4.0)</v>
      </c>
      <c r="E3051" s="3" t="str">
        <f>"Egg marks the spot"</f>
        <v>Egg marks the spot</v>
      </c>
      <c r="F3051" s="3" t="str">
        <f>"by Amy Timberlake, with pictures by Jon Klassen"</f>
        <v>by Amy Timberlake, with pictures by Jon Klassen</v>
      </c>
      <c r="G3051" s="3" t="str">
        <f>"Algonquin Young Readers"</f>
        <v>Algonquin Young Readers</v>
      </c>
      <c r="H3051" s="2" t="str">
        <f>"2021"</f>
        <v>2021</v>
      </c>
      <c r="I3051" s="3" t="str">
        <f>""</f>
        <v/>
      </c>
    </row>
    <row r="3052" spans="1:9" x14ac:dyDescent="0.3">
      <c r="A3052" s="2">
        <v>3051</v>
      </c>
      <c r="B3052" s="4" t="s">
        <v>41</v>
      </c>
      <c r="C3052" s="3" t="str">
        <f>"TFC000004111"</f>
        <v>TFC000004111</v>
      </c>
      <c r="D3052" s="3" t="str">
        <f>"F800-21-0745-(AR 4.0)"</f>
        <v>F800-21-0745-(AR 4.0)</v>
      </c>
      <c r="E3052" s="3" t="str">
        <f>"Obie is man enough"</f>
        <v>Obie is man enough</v>
      </c>
      <c r="F3052" s="3" t="str">
        <f>"by Schuyler Bailar"</f>
        <v>by Schuyler Bailar</v>
      </c>
      <c r="G3052" s="3" t="str">
        <f>"Crown Books for Young Readers"</f>
        <v>Crown Books for Young Readers</v>
      </c>
      <c r="H3052" s="2" t="str">
        <f>"2021"</f>
        <v>2021</v>
      </c>
      <c r="I3052" s="3" t="str">
        <f>""</f>
        <v/>
      </c>
    </row>
    <row r="3053" spans="1:9" x14ac:dyDescent="0.3">
      <c r="A3053" s="2">
        <v>3052</v>
      </c>
      <c r="B3053" s="4" t="s">
        <v>41</v>
      </c>
      <c r="C3053" s="3" t="str">
        <f>"TFC000004195"</f>
        <v>TFC000004195</v>
      </c>
      <c r="D3053" s="3" t="str">
        <f>"F800-21-0747-(AR 4.0)"</f>
        <v>F800-21-0747-(AR 4.0)</v>
      </c>
      <c r="E3053" s="3" t="str">
        <f>"Fancy Nancy : tea parties"</f>
        <v>Fancy Nancy : tea parties</v>
      </c>
      <c r="F3053" s="3" t="str">
        <f>"written by Jane O'Connor, illustrated by Robin Preiss Glasser"</f>
        <v>written by Jane O'Connor, illustrated by Robin Preiss Glasser</v>
      </c>
      <c r="G3053" s="3" t="str">
        <f>"HarperCollinsPublishers"</f>
        <v>HarperCollinsPublishers</v>
      </c>
      <c r="H3053" s="2" t="str">
        <f>"2009"</f>
        <v>2009</v>
      </c>
      <c r="I3053" s="3" t="str">
        <f>""</f>
        <v/>
      </c>
    </row>
    <row r="3054" spans="1:9" x14ac:dyDescent="0.3">
      <c r="A3054" s="2">
        <v>3053</v>
      </c>
      <c r="B3054" s="4" t="s">
        <v>41</v>
      </c>
      <c r="C3054" s="3" t="str">
        <f>"TFC000004217"</f>
        <v>TFC000004217</v>
      </c>
      <c r="D3054" s="3" t="str">
        <f>"F800-22-0062-(AR 4.0)"</f>
        <v>F800-22-0062-(AR 4.0)</v>
      </c>
      <c r="E3054" s="3" t="str">
        <f>"Detective camp"</f>
        <v>Detective camp</v>
      </c>
      <c r="F3054" s="3" t="str">
        <f>"by Ron Roy, illustrated by John Steven Gurney"</f>
        <v>by Ron Roy, illustrated by John Steven Gurney</v>
      </c>
      <c r="G3054" s="3" t="str">
        <f>"Random House"</f>
        <v>Random House</v>
      </c>
      <c r="H3054" s="2" t="str">
        <f>"2006"</f>
        <v>2006</v>
      </c>
      <c r="I3054" s="3" t="str">
        <f>""</f>
        <v/>
      </c>
    </row>
    <row r="3055" spans="1:9" x14ac:dyDescent="0.3">
      <c r="A3055" s="2">
        <v>3054</v>
      </c>
      <c r="B3055" s="4" t="s">
        <v>41</v>
      </c>
      <c r="C3055" s="3" t="str">
        <f>"TFC000004226"</f>
        <v>TFC000004226</v>
      </c>
      <c r="D3055" s="3" t="str">
        <f>"F800-22-0063-(AR 4.0)"</f>
        <v>F800-22-0063-(AR 4.0)</v>
      </c>
      <c r="E3055" s="3" t="str">
        <f>"Colossal fossil"</f>
        <v>Colossal fossil</v>
      </c>
      <c r="F3055" s="3" t="str">
        <f>"by Ron Roy, illustrated by John Steven Gurney"</f>
        <v>by Ron Roy, illustrated by John Steven Gurney</v>
      </c>
      <c r="G3055" s="3" t="str">
        <f>"Random House"</f>
        <v>Random House</v>
      </c>
      <c r="H3055" s="2" t="str">
        <f>"2018"</f>
        <v>2018</v>
      </c>
      <c r="I3055" s="3" t="str">
        <f>""</f>
        <v/>
      </c>
    </row>
    <row r="3056" spans="1:9" x14ac:dyDescent="0.3">
      <c r="A3056" s="2">
        <v>3055</v>
      </c>
      <c r="B3056" s="4" t="s">
        <v>41</v>
      </c>
      <c r="C3056" s="3" t="str">
        <f>"TFC000004228"</f>
        <v>TFC000004228</v>
      </c>
      <c r="D3056" s="3" t="str">
        <f>"F800-22-0064-(AR 4.0)"</f>
        <v>F800-22-0064-(AR 4.0)</v>
      </c>
      <c r="E3056" s="3" t="str">
        <f>"Space shuttle scam"</f>
        <v>Space shuttle scam</v>
      </c>
      <c r="F3056" s="3" t="str">
        <f>"by Ron Roy, illustrated by John Steven Gurney"</f>
        <v>by Ron Roy, illustrated by John Steven Gurney</v>
      </c>
      <c r="G3056" s="3" t="str">
        <f>"Random House"</f>
        <v>Random House</v>
      </c>
      <c r="H3056" s="2" t="str">
        <f>"2020"</f>
        <v>2020</v>
      </c>
      <c r="I3056" s="3" t="str">
        <f>""</f>
        <v/>
      </c>
    </row>
    <row r="3057" spans="1:9" x14ac:dyDescent="0.3">
      <c r="A3057" s="2">
        <v>3056</v>
      </c>
      <c r="B3057" s="4" t="s">
        <v>41</v>
      </c>
      <c r="C3057" s="3" t="str">
        <f>"TFC000004230"</f>
        <v>TFC000004230</v>
      </c>
      <c r="D3057" s="3" t="str">
        <f>"F800-22-0066-(AR 4.0)=2"</f>
        <v>F800-22-0066-(AR 4.0)=2</v>
      </c>
      <c r="E3057" s="3" t="str">
        <f>"(The)65-Story Treehouse"</f>
        <v>(The)65-Story Treehouse</v>
      </c>
      <c r="F3057" s="3" t="str">
        <f>"by Andy Griffiths, illustrated by Terry Denton"</f>
        <v>by Andy Griffiths, illustrated by Terry Denton</v>
      </c>
      <c r="G3057" s="3" t="str">
        <f>"Feiwel &amp; Friends"</f>
        <v>Feiwel &amp; Friends</v>
      </c>
      <c r="H3057" s="2" t="str">
        <f>"2016"</f>
        <v>2016</v>
      </c>
      <c r="I3057" s="3" t="str">
        <f>""</f>
        <v/>
      </c>
    </row>
    <row r="3058" spans="1:9" x14ac:dyDescent="0.3">
      <c r="A3058" s="2">
        <v>3057</v>
      </c>
      <c r="B3058" s="4" t="s">
        <v>41</v>
      </c>
      <c r="C3058" s="3" t="str">
        <f>"TFC000004312"</f>
        <v>TFC000004312</v>
      </c>
      <c r="D3058" s="3" t="str">
        <f>"F900-22-0114-(AR 4.0)"</f>
        <v>F900-22-0114-(AR 4.0)</v>
      </c>
      <c r="E3058" s="3" t="str">
        <f>"Saving the Liberty Bell"</f>
        <v>Saving the Liberty Bell</v>
      </c>
      <c r="F3058" s="3" t="str">
        <f>"story by Megan McDonald, illustrations by Marsha Gray Carrington"</f>
        <v>story by Megan McDonald, illustrations by Marsha Gray Carrington</v>
      </c>
      <c r="G3058" s="3" t="str">
        <f>"Atheneum Books for Young Readers"</f>
        <v>Atheneum Books for Young Readers</v>
      </c>
      <c r="H3058" s="2" t="str">
        <f>"c2005"</f>
        <v>c2005</v>
      </c>
      <c r="I3058" s="3" t="str">
        <f>""</f>
        <v/>
      </c>
    </row>
    <row r="3059" spans="1:9" x14ac:dyDescent="0.3">
      <c r="A3059" s="2">
        <v>3058</v>
      </c>
      <c r="B3059" s="4" t="s">
        <v>41</v>
      </c>
      <c r="C3059" s="3" t="str">
        <f>"TFC000004800"</f>
        <v>TFC000004800</v>
      </c>
      <c r="D3059" s="3" t="str">
        <f>"F800-22-0538-(AR 4.0)"</f>
        <v>F800-22-0538-(AR 4.0)</v>
      </c>
      <c r="E3059" s="3" t="str">
        <f>"(The)Enormous crocodile"</f>
        <v>(The)Enormous crocodile</v>
      </c>
      <c r="F3059" s="3" t="str">
        <f>"by Roald Dahl, illustrated by Quentin Blake"</f>
        <v>by Roald Dahl, illustrated by Quentin Blake</v>
      </c>
      <c r="G3059" s="3" t="str">
        <f>"Penguin Books"</f>
        <v>Penguin Books</v>
      </c>
      <c r="H3059" s="2" t="str">
        <f>"2014"</f>
        <v>2014</v>
      </c>
      <c r="I3059" s="3" t="str">
        <f>""</f>
        <v/>
      </c>
    </row>
    <row r="3060" spans="1:9" x14ac:dyDescent="0.3">
      <c r="A3060" s="2">
        <v>3059</v>
      </c>
      <c r="B3060" s="4" t="s">
        <v>41</v>
      </c>
      <c r="C3060" s="3" t="str">
        <f>"TFC000004689"</f>
        <v>TFC000004689</v>
      </c>
      <c r="D3060" s="3" t="str">
        <f>"F800-22-0498-(AR4.0)"</f>
        <v>F800-22-0498-(AR4.0)</v>
      </c>
      <c r="E3060" s="3" t="str">
        <f>"Audrey Under the Big Top : A Hartford Circus Fire Survival Story"</f>
        <v>Audrey Under the Big Top : A Hartford Circus Fire Survival Story</v>
      </c>
      <c r="F3060" s="3" t="str">
        <f>"by Jessica Gunderson, illustrated by Wendy Tan"</f>
        <v>by Jessica Gunderson, illustrated by Wendy Tan</v>
      </c>
      <c r="G3060" s="3" t="str">
        <f>"Stone Arch Books"</f>
        <v>Stone Arch Books</v>
      </c>
      <c r="H3060" s="2" t="str">
        <f>"2022"</f>
        <v>2022</v>
      </c>
      <c r="I3060" s="3" t="str">
        <f>""</f>
        <v/>
      </c>
    </row>
    <row r="3061" spans="1:9" x14ac:dyDescent="0.3">
      <c r="A3061" s="2">
        <v>3060</v>
      </c>
      <c r="B3061" s="4" t="s">
        <v>41</v>
      </c>
      <c r="C3061" s="3" t="str">
        <f>"TFC000004491"</f>
        <v>TFC000004491</v>
      </c>
      <c r="D3061" s="3" t="str">
        <f>"F800-22-0300-(AR4.0)"</f>
        <v>F800-22-0300-(AR4.0)</v>
      </c>
      <c r="E3061" s="3" t="str">
        <f>"How lady met tramp"</f>
        <v>How lady met tramp</v>
      </c>
      <c r="F3061" s="3" t="str">
        <f>"by Elle Stephens, Andrew Bujalski, Disney Press"</f>
        <v>by Elle Stephens, Andrew Bujalski, Disney Press</v>
      </c>
      <c r="G3061" s="3" t="str">
        <f>"Disney Press"</f>
        <v>Disney Press</v>
      </c>
      <c r="H3061" s="2" t="str">
        <f>"2020"</f>
        <v>2020</v>
      </c>
      <c r="I3061" s="3" t="str">
        <f>""</f>
        <v/>
      </c>
    </row>
    <row r="3062" spans="1:9" x14ac:dyDescent="0.3">
      <c r="A3062" s="2">
        <v>3061</v>
      </c>
      <c r="B3062" s="4" t="s">
        <v>41</v>
      </c>
      <c r="C3062" s="3" t="str">
        <f>"TFC000004492"</f>
        <v>TFC000004492</v>
      </c>
      <c r="D3062" s="3" t="str">
        <f>"F900-22-0301-(AR4.0)"</f>
        <v>F900-22-0301-(AR4.0)</v>
      </c>
      <c r="E3062" s="3" t="str">
        <f>"Runaway : The daring escape of Oney Judge"</f>
        <v>Runaway : The daring escape of Oney Judge</v>
      </c>
      <c r="F3062" s="3" t="str">
        <f>"by Ray Anthony Shepard, illustrated by Keith Mallett"</f>
        <v>by Ray Anthony Shepard, illustrated by Keith Mallett</v>
      </c>
      <c r="G3062" s="3" t="str">
        <f>"Farrar Straus Giroux Books"</f>
        <v>Farrar Straus Giroux Books</v>
      </c>
      <c r="H3062" s="2" t="str">
        <f>"2021"</f>
        <v>2021</v>
      </c>
      <c r="I3062" s="3" t="str">
        <f>""</f>
        <v/>
      </c>
    </row>
    <row r="3063" spans="1:9" x14ac:dyDescent="0.3">
      <c r="A3063" s="2">
        <v>3062</v>
      </c>
      <c r="B3063" s="4" t="s">
        <v>41</v>
      </c>
      <c r="C3063" s="3" t="str">
        <f>"TFC000004493"</f>
        <v>TFC000004493</v>
      </c>
      <c r="D3063" s="3" t="str">
        <f>"F800-22-0302-(AR4.0)"</f>
        <v>F800-22-0302-(AR4.0)</v>
      </c>
      <c r="E3063" s="3" t="str">
        <f>"Turkey Trot Plot"</f>
        <v>Turkey Trot Plot</v>
      </c>
      <c r="F3063" s="3" t="str">
        <f>"by Carolyn Keene, illustrated by Peter Francis"</f>
        <v>by Carolyn Keene, illustrated by Peter Francis</v>
      </c>
      <c r="G3063" s="3" t="str">
        <f>"Aladdin"</f>
        <v>Aladdin</v>
      </c>
      <c r="H3063" s="2" t="str">
        <f>"2019"</f>
        <v>2019</v>
      </c>
      <c r="I3063" s="3" t="str">
        <f>""</f>
        <v/>
      </c>
    </row>
    <row r="3064" spans="1:9" x14ac:dyDescent="0.3">
      <c r="A3064" s="2">
        <v>3063</v>
      </c>
      <c r="B3064" s="4" t="s">
        <v>41</v>
      </c>
      <c r="C3064" s="3" t="str">
        <f>"TFC000004533"</f>
        <v>TFC000004533</v>
      </c>
      <c r="D3064" s="3" t="str">
        <f>"F800-22-0342-(AR4.0)"</f>
        <v>F800-22-0342-(AR4.0)</v>
      </c>
      <c r="E3064" s="3" t="str">
        <f>"Fifty-Four Things Wrong with Gwendolyn Rogers"</f>
        <v>Fifty-Four Things Wrong with Gwendolyn Rogers</v>
      </c>
      <c r="F3064" s="3" t="str">
        <f>"by Caela Carter"</f>
        <v>by Caela Carter</v>
      </c>
      <c r="G3064" s="3" t="str">
        <f>"Quill Tree Books"</f>
        <v>Quill Tree Books</v>
      </c>
      <c r="H3064" s="2" t="str">
        <f>"2021"</f>
        <v>2021</v>
      </c>
      <c r="I3064" s="3" t="str">
        <f>""</f>
        <v/>
      </c>
    </row>
    <row r="3065" spans="1:9" x14ac:dyDescent="0.3">
      <c r="A3065" s="2">
        <v>3064</v>
      </c>
      <c r="B3065" s="4" t="s">
        <v>41</v>
      </c>
      <c r="C3065" s="3" t="str">
        <f>"TFC000004534"</f>
        <v>TFC000004534</v>
      </c>
      <c r="D3065" s="3" t="str">
        <f>"F800-22-0343-(AR4.0)"</f>
        <v>F800-22-0343-(AR4.0)</v>
      </c>
      <c r="E3065" s="3" t="str">
        <f>"Tbh, I Don't Want to Say Good-Bye"</f>
        <v>Tbh, I Don't Want to Say Good-Bye</v>
      </c>
      <c r="F3065" s="3" t="str">
        <f>"by Lisa Greenwald"</f>
        <v>by Lisa Greenwald</v>
      </c>
      <c r="G3065" s="3" t="str">
        <f>"Katherine Tegen Books"</f>
        <v>Katherine Tegen Books</v>
      </c>
      <c r="H3065" s="2" t="str">
        <f>"2022"</f>
        <v>2022</v>
      </c>
      <c r="I3065" s="3" t="str">
        <f>""</f>
        <v/>
      </c>
    </row>
    <row r="3066" spans="1:9" x14ac:dyDescent="0.3">
      <c r="A3066" s="2">
        <v>3065</v>
      </c>
      <c r="B3066" s="4" t="s">
        <v>41</v>
      </c>
      <c r="C3066" s="3" t="str">
        <f>"TFC000004608"</f>
        <v>TFC000004608</v>
      </c>
      <c r="D3066" s="3" t="str">
        <f>"F800-22-0417-(AR4.0)"</f>
        <v>F800-22-0417-(AR4.0)</v>
      </c>
      <c r="E3066" s="3" t="str">
        <f>"Deacon Locke Went to Prom"</f>
        <v>Deacon Locke Went to Prom</v>
      </c>
      <c r="F3066" s="3" t="str">
        <f>"by Brian Katcher"</f>
        <v>by Brian Katcher</v>
      </c>
      <c r="G3066" s="3" t="str">
        <f>"Katherine Tegen Books"</f>
        <v>Katherine Tegen Books</v>
      </c>
      <c r="H3066" s="2" t="str">
        <f>"2017"</f>
        <v>2017</v>
      </c>
      <c r="I3066" s="3" t="str">
        <f>""</f>
        <v/>
      </c>
    </row>
    <row r="3067" spans="1:9" x14ac:dyDescent="0.3">
      <c r="A3067" s="2">
        <v>3066</v>
      </c>
      <c r="B3067" s="4" t="s">
        <v>41</v>
      </c>
      <c r="C3067" s="3" t="str">
        <f>"TFC000004824"</f>
        <v>TFC000004824</v>
      </c>
      <c r="D3067" s="3" t="str">
        <f>"F800-22-0561-(AR4.0)"</f>
        <v>F800-22-0561-(AR4.0)</v>
      </c>
      <c r="E3067" s="3" t="str">
        <f>"(The)Lion of Mars"</f>
        <v>(The)Lion of Mars</v>
      </c>
      <c r="F3067" s="3" t="str">
        <f>"by Jennifer L. Holm"</f>
        <v>by Jennifer L. Holm</v>
      </c>
      <c r="G3067" s="3" t="str">
        <f>"Random House Children's Books"</f>
        <v>Random House Children's Books</v>
      </c>
      <c r="H3067" s="2" t="str">
        <f>"2021"</f>
        <v>2021</v>
      </c>
      <c r="I3067" s="3" t="str">
        <f>""</f>
        <v/>
      </c>
    </row>
    <row r="3068" spans="1:9" x14ac:dyDescent="0.3">
      <c r="A3068" s="2">
        <v>3067</v>
      </c>
      <c r="B3068" s="5">
        <v>4</v>
      </c>
      <c r="C3068" s="3" t="str">
        <f>"TFC000004714"</f>
        <v>TFC000004714</v>
      </c>
      <c r="D3068" s="3" t="str">
        <f>"F800-22-0519-5(AR 4.0)"</f>
        <v>F800-22-0519-5(AR 4.0)</v>
      </c>
      <c r="E3068" s="3" t="str">
        <f>"(The)65-Storey Treehouse"</f>
        <v>(The)65-Storey Treehouse</v>
      </c>
      <c r="F3068" s="3" t="str">
        <f>"by Andy Griffiths, illustrated by Terry Denton"</f>
        <v>by Andy Griffiths, illustrated by Terry Denton</v>
      </c>
      <c r="G3068" s="3" t="str">
        <f>"Pan MacMillan"</f>
        <v>Pan MacMillan</v>
      </c>
      <c r="H3068" s="2" t="str">
        <f>"2016"</f>
        <v>2016</v>
      </c>
      <c r="I3068" s="3" t="str">
        <f>""</f>
        <v/>
      </c>
    </row>
    <row r="3069" spans="1:9" x14ac:dyDescent="0.3">
      <c r="A3069" s="2">
        <v>3068</v>
      </c>
      <c r="B3069" s="5">
        <v>4</v>
      </c>
      <c r="C3069" s="3" t="str">
        <f>"TFC000004194"</f>
        <v>TFC000004194</v>
      </c>
      <c r="D3069" s="3" t="str">
        <f>"F800-21-0746-6(AR 4.0)"</f>
        <v>F800-21-0746-6(AR 4.0)</v>
      </c>
      <c r="E3069" s="3" t="str">
        <f>"Zoey and Sassafras. 6, Unicorns and germs"</f>
        <v>Zoey and Sassafras. 6, Unicorns and germs</v>
      </c>
      <c r="F3069" s="3" t="str">
        <f>"story by Asia Citro, pictures by Marion Lindsay"</f>
        <v>story by Asia Citro, pictures by Marion Lindsay</v>
      </c>
      <c r="G3069" s="3" t="str">
        <f>"Innovation Press"</f>
        <v>Innovation Press</v>
      </c>
      <c r="H3069" s="2" t="str">
        <f>"2018"</f>
        <v>2018</v>
      </c>
      <c r="I3069" s="3" t="str">
        <f>""</f>
        <v/>
      </c>
    </row>
    <row r="3070" spans="1:9" x14ac:dyDescent="0.3">
      <c r="A3070" s="2">
        <v>3069</v>
      </c>
      <c r="B3070" s="4" t="s">
        <v>42</v>
      </c>
      <c r="C3070" s="3" t="str">
        <f>"TFC000002044"</f>
        <v>TFC000002044</v>
      </c>
      <c r="D3070" s="3" t="str">
        <f>"F800-20-2269-(AR 4.1)"</f>
        <v>F800-20-2269-(AR 4.1)</v>
      </c>
      <c r="E3070" s="3" t="str">
        <f>"Sleeping beauty"</f>
        <v>Sleeping beauty</v>
      </c>
      <c r="F3070" s="3" t="str">
        <f>"retold by Kate Knighton ; illustrated by Jana Costa"</f>
        <v>retold by Kate Knighton ; illustrated by Jana Costa</v>
      </c>
      <c r="G3070" s="3" t="str">
        <f>"Usborne"</f>
        <v>Usborne</v>
      </c>
      <c r="H3070" s="2" t="str">
        <f>"2006"</f>
        <v>2006</v>
      </c>
      <c r="I3070" s="2" t="s">
        <v>2</v>
      </c>
    </row>
    <row r="3071" spans="1:9" x14ac:dyDescent="0.3">
      <c r="A3071" s="2">
        <v>3070</v>
      </c>
      <c r="B3071" s="4" t="s">
        <v>42</v>
      </c>
      <c r="C3071" s="3" t="str">
        <f>"TFC000002036"</f>
        <v>TFC000002036</v>
      </c>
      <c r="D3071" s="3" t="str">
        <f>"F800-20-2261-(AR 4.1)"</f>
        <v>F800-20-2261-(AR 4.1)</v>
      </c>
      <c r="E3071" s="3" t="str">
        <f>"East of the sun, West of the moon"</f>
        <v>East of the sun, West of the moon</v>
      </c>
      <c r="F3071" s="3" t="str">
        <f>"retold by Susanna Davidson ; illustrated by Petra Brown"</f>
        <v>retold by Susanna Davidson ; illustrated by Petra Brown</v>
      </c>
      <c r="G3071" s="3" t="str">
        <f>"Usborne"</f>
        <v>Usborne</v>
      </c>
      <c r="H3071" s="2" t="str">
        <f>"2009"</f>
        <v>2009</v>
      </c>
      <c r="I3071" s="2" t="s">
        <v>2</v>
      </c>
    </row>
    <row r="3072" spans="1:9" x14ac:dyDescent="0.3">
      <c r="A3072" s="2">
        <v>3071</v>
      </c>
      <c r="B3072" s="4" t="s">
        <v>42</v>
      </c>
      <c r="C3072" s="3" t="str">
        <f>"TFC000002019"</f>
        <v>TFC000002019</v>
      </c>
      <c r="D3072" s="3" t="str">
        <f>"F400-20-2243-(AR 4.1)"</f>
        <v>F400-20-2243-(AR 4.1)</v>
      </c>
      <c r="E3072" s="3" t="str">
        <f>"Rocky road trip"</f>
        <v>Rocky road trip</v>
      </c>
      <c r="F3072" s="3" t="str">
        <f>"written by Judith Bauer Stamper ; illustrated by Hope Gangloff"</f>
        <v>written by Judith Bauer Stamper ; illustrated by Hope Gangloff</v>
      </c>
      <c r="G3072" s="3" t="str">
        <f>"Scholastic"</f>
        <v>Scholastic</v>
      </c>
      <c r="H3072" s="2" t="str">
        <f>"2003"</f>
        <v>2003</v>
      </c>
      <c r="I3072" s="3" t="str">
        <f>""</f>
        <v/>
      </c>
    </row>
    <row r="3073" spans="1:9" x14ac:dyDescent="0.3">
      <c r="A3073" s="2">
        <v>3072</v>
      </c>
      <c r="B3073" s="4" t="s">
        <v>42</v>
      </c>
      <c r="C3073" s="3" t="str">
        <f>"TFC000002020"</f>
        <v>TFC000002020</v>
      </c>
      <c r="D3073" s="3" t="str">
        <f>"F400-20-2244-(AR 4.1)"</f>
        <v>F400-20-2244-(AR 4.1)</v>
      </c>
      <c r="E3073" s="3" t="str">
        <f>"Wild cats"</f>
        <v>Wild cats</v>
      </c>
      <c r="F3073" s="3" t="str">
        <f>"by Mary Batten ; illustrated by Michael Langham Rowe"</f>
        <v>by Mary Batten ; illustrated by Michael Langham Rowe</v>
      </c>
      <c r="G3073" s="3" t="str">
        <f>"Random House"</f>
        <v>Random House</v>
      </c>
      <c r="H3073" s="2" t="str">
        <f>"2002"</f>
        <v>2002</v>
      </c>
      <c r="I3073" s="3" t="str">
        <f>""</f>
        <v/>
      </c>
    </row>
    <row r="3074" spans="1:9" x14ac:dyDescent="0.3">
      <c r="A3074" s="2">
        <v>3073</v>
      </c>
      <c r="B3074" s="4" t="s">
        <v>42</v>
      </c>
      <c r="C3074" s="3" t="str">
        <f>"TFC000002021"</f>
        <v>TFC000002021</v>
      </c>
      <c r="D3074" s="3" t="str">
        <f>"F900-20-2246-(AR 4.1)"</f>
        <v>F900-20-2246-(AR 4.1)</v>
      </c>
      <c r="E3074" s="3" t="str">
        <f>"(The)right word : Roget and his thesaurus"</f>
        <v>(The)right word : Roget and his thesaurus</v>
      </c>
      <c r="F3074" s="3" t="str">
        <f>"Jen Bryant ; illustrated by Melissa Sweet"</f>
        <v>Jen Bryant ; illustrated by Melissa Sweet</v>
      </c>
      <c r="G3074" s="3" t="str">
        <f>"Eerdmans Books for Young Readers"</f>
        <v>Eerdmans Books for Young Readers</v>
      </c>
      <c r="H3074" s="2" t="str">
        <f>"2014"</f>
        <v>2014</v>
      </c>
      <c r="I3074" s="3" t="str">
        <f>""</f>
        <v/>
      </c>
    </row>
    <row r="3075" spans="1:9" x14ac:dyDescent="0.3">
      <c r="A3075" s="2">
        <v>3074</v>
      </c>
      <c r="B3075" s="4" t="s">
        <v>42</v>
      </c>
      <c r="C3075" s="3" t="str">
        <f>"TFC000002022"</f>
        <v>TFC000002022</v>
      </c>
      <c r="D3075" s="3" t="str">
        <f>"F800-20-2247-(AR 4.1)"</f>
        <v>F800-20-2247-(AR 4.1)</v>
      </c>
      <c r="E3075" s="3" t="str">
        <f>"Sadako and the thousand paper cranes"</f>
        <v>Sadako and the thousand paper cranes</v>
      </c>
      <c r="F3075" s="3" t="str">
        <f>"by Eleanor Coerr ; paintings by Ronald Himler"</f>
        <v>by Eleanor Coerr ; paintings by Ronald Himler</v>
      </c>
      <c r="G3075" s="3" t="str">
        <f>"Puffin Book"</f>
        <v>Puffin Book</v>
      </c>
      <c r="H3075" s="2" t="str">
        <f>"1999"</f>
        <v>1999</v>
      </c>
      <c r="I3075" s="3" t="str">
        <f>""</f>
        <v/>
      </c>
    </row>
    <row r="3076" spans="1:9" x14ac:dyDescent="0.3">
      <c r="A3076" s="2">
        <v>3075</v>
      </c>
      <c r="B3076" s="4" t="s">
        <v>42</v>
      </c>
      <c r="C3076" s="3" t="str">
        <f>"TFC000002023"</f>
        <v>TFC000002023</v>
      </c>
      <c r="D3076" s="3" t="str">
        <f>"F800-20-2248-(AR 4.1)"</f>
        <v>F800-20-2248-(AR 4.1)</v>
      </c>
      <c r="E3076" s="3" t="str">
        <f>"Fantastic Mr. Fox"</f>
        <v>Fantastic Mr. Fox</v>
      </c>
      <c r="F3076" s="3" t="str">
        <f>"by Roald Dahl ; illustrated by Quentin Blake"</f>
        <v>by Roald Dahl ; illustrated by Quentin Blake</v>
      </c>
      <c r="G3076" s="3" t="str">
        <f>"Puffin Books"</f>
        <v>Puffin Books</v>
      </c>
      <c r="H3076" s="2" t="str">
        <f>"2013"</f>
        <v>2013</v>
      </c>
      <c r="I3076" s="3" t="str">
        <f>""</f>
        <v/>
      </c>
    </row>
    <row r="3077" spans="1:9" x14ac:dyDescent="0.3">
      <c r="A3077" s="2">
        <v>3076</v>
      </c>
      <c r="B3077" s="4" t="s">
        <v>42</v>
      </c>
      <c r="C3077" s="3" t="str">
        <f>"TFC000002026"</f>
        <v>TFC000002026</v>
      </c>
      <c r="D3077" s="3" t="str">
        <f>"F800-20-2251-(AR 4.1)"</f>
        <v>F800-20-2251-(AR 4.1)</v>
      </c>
      <c r="E3077" s="3" t="str">
        <f>"Make way for ducklings"</f>
        <v>Make way for ducklings</v>
      </c>
      <c r="F3077" s="3" t="str">
        <f>"by Robert McCloskey"</f>
        <v>by Robert McCloskey</v>
      </c>
      <c r="G3077" s="3" t="str">
        <f>"Puffin Books"</f>
        <v>Puffin Books</v>
      </c>
      <c r="H3077" s="2" t="str">
        <f>"1999"</f>
        <v>1999</v>
      </c>
      <c r="I3077" s="3" t="str">
        <f>""</f>
        <v/>
      </c>
    </row>
    <row r="3078" spans="1:9" x14ac:dyDescent="0.3">
      <c r="A3078" s="2">
        <v>3077</v>
      </c>
      <c r="B3078" s="4" t="s">
        <v>42</v>
      </c>
      <c r="C3078" s="3" t="str">
        <f>"TFC000002027"</f>
        <v>TFC000002027</v>
      </c>
      <c r="D3078" s="3" t="str">
        <f>"F800-20-2252-(AR 4.1)"</f>
        <v>F800-20-2252-(AR 4.1)</v>
      </c>
      <c r="E3078" s="3" t="str">
        <f>"(The)secret soldier : the story of deborah sampson"</f>
        <v>(The)secret soldier : the story of deborah sampson</v>
      </c>
      <c r="F3078" s="3" t="str">
        <f>"by Ann Mcgovern ; illustrated by Harold Goodwin"</f>
        <v>by Ann Mcgovern ; illustrated by Harold Goodwin</v>
      </c>
      <c r="G3078" s="3" t="str">
        <f>"Scholastic"</f>
        <v>Scholastic</v>
      </c>
      <c r="H3078" s="2" t="str">
        <f>"1975"</f>
        <v>1975</v>
      </c>
      <c r="I3078" s="3" t="str">
        <f>""</f>
        <v/>
      </c>
    </row>
    <row r="3079" spans="1:9" x14ac:dyDescent="0.3">
      <c r="A3079" s="2">
        <v>3078</v>
      </c>
      <c r="B3079" s="4" t="s">
        <v>42</v>
      </c>
      <c r="C3079" s="3" t="str">
        <f>"TFC000002028"</f>
        <v>TFC000002028</v>
      </c>
      <c r="D3079" s="3" t="str">
        <f>"F800-20-2253-(AR 4.1)"</f>
        <v>F800-20-2253-(AR 4.1)</v>
      </c>
      <c r="E3079" s="3" t="str">
        <f>"(The)Pizza mystery"</f>
        <v>(The)Pizza mystery</v>
      </c>
      <c r="F3079" s="3" t="str">
        <f>"Gertrude Chandler Warner ; illustrated by Charles Tang"</f>
        <v>Gertrude Chandler Warner ; illustrated by Charles Tang</v>
      </c>
      <c r="G3079" s="3" t="str">
        <f>"Albert Whitman"</f>
        <v>Albert Whitman</v>
      </c>
      <c r="H3079" s="2" t="str">
        <f>"1993"</f>
        <v>1993</v>
      </c>
      <c r="I3079" s="3" t="str">
        <f>""</f>
        <v/>
      </c>
    </row>
    <row r="3080" spans="1:9" x14ac:dyDescent="0.3">
      <c r="A3080" s="2">
        <v>3079</v>
      </c>
      <c r="B3080" s="4" t="s">
        <v>42</v>
      </c>
      <c r="C3080" s="3" t="str">
        <f>"TFC000002029"</f>
        <v>TFC000002029</v>
      </c>
      <c r="D3080" s="3" t="str">
        <f>"F800-20-2254-(AR 4.1)"</f>
        <v>F800-20-2254-(AR 4.1)</v>
      </c>
      <c r="E3080" s="3" t="str">
        <f>"Kindergarten luck"</f>
        <v>Kindergarten luck</v>
      </c>
      <c r="F3080" s="3" t="str">
        <f>"by Louise Borden ; illustrated by Genevieve Godbout"</f>
        <v>by Louise Borden ; illustrated by Genevieve Godbout</v>
      </c>
      <c r="G3080" s="3" t="str">
        <f>"Chronicle Books"</f>
        <v>Chronicle Books</v>
      </c>
      <c r="H3080" s="2" t="str">
        <f>"2015"</f>
        <v>2015</v>
      </c>
      <c r="I3080" s="3" t="str">
        <f>""</f>
        <v/>
      </c>
    </row>
    <row r="3081" spans="1:9" x14ac:dyDescent="0.3">
      <c r="A3081" s="2">
        <v>3080</v>
      </c>
      <c r="B3081" s="4" t="s">
        <v>42</v>
      </c>
      <c r="C3081" s="3" t="str">
        <f>"TFC000002030"</f>
        <v>TFC000002030</v>
      </c>
      <c r="D3081" s="3" t="str">
        <f>"F800-20-2255-(AR 4.1)"</f>
        <v>F800-20-2255-(AR 4.1)</v>
      </c>
      <c r="E3081" s="3" t="str">
        <f>"(The)war that saved my life"</f>
        <v>(The)war that saved my life</v>
      </c>
      <c r="F3081" s="3" t="str">
        <f>"Kimberly Brubaker Bradley"</f>
        <v>Kimberly Brubaker Bradley</v>
      </c>
      <c r="G3081" s="3" t="str">
        <f>"Puffin Books"</f>
        <v>Puffin Books</v>
      </c>
      <c r="H3081" s="2" t="str">
        <f>"2015"</f>
        <v>2015</v>
      </c>
      <c r="I3081" s="3" t="str">
        <f>""</f>
        <v/>
      </c>
    </row>
    <row r="3082" spans="1:9" x14ac:dyDescent="0.3">
      <c r="A3082" s="2">
        <v>3081</v>
      </c>
      <c r="B3082" s="4" t="s">
        <v>42</v>
      </c>
      <c r="C3082" s="3" t="str">
        <f>"TFC000002031"</f>
        <v>TFC000002031</v>
      </c>
      <c r="D3082" s="3" t="str">
        <f>"F800-20-2256-(AR 4.1)"</f>
        <v>F800-20-2256-(AR 4.1)</v>
      </c>
      <c r="E3082" s="3" t="str">
        <f>"(The)final boss"</f>
        <v>(The)final boss</v>
      </c>
      <c r="F3082" s="3" t="str">
        <f>"Dustin Brady ; illustrations by Jesse Brady"</f>
        <v>Dustin Brady ; illustrations by Jesse Brady</v>
      </c>
      <c r="G3082" s="3" t="str">
        <f>"Andrews McMeel Publishing"</f>
        <v>Andrews McMeel Publishing</v>
      </c>
      <c r="H3082" s="2" t="str">
        <f>"2019"</f>
        <v>2019</v>
      </c>
      <c r="I3082" s="3" t="str">
        <f>""</f>
        <v/>
      </c>
    </row>
    <row r="3083" spans="1:9" x14ac:dyDescent="0.3">
      <c r="A3083" s="2">
        <v>3082</v>
      </c>
      <c r="B3083" s="4" t="s">
        <v>42</v>
      </c>
      <c r="C3083" s="3" t="str">
        <f>"TFC000002032"</f>
        <v>TFC000002032</v>
      </c>
      <c r="D3083" s="3" t="str">
        <f>"F800-20-2257-(AR 4.1)"</f>
        <v>F800-20-2257-(AR 4.1)</v>
      </c>
      <c r="E3083" s="3" t="str">
        <f>"June's wild flight"</f>
        <v>June's wild flight</v>
      </c>
      <c r="F3083" s="3" t="str">
        <f>"Max Brallier ; illustrated by Douglas Holgate"</f>
        <v>Max Brallier ; illustrated by Douglas Holgate</v>
      </c>
      <c r="G3083" s="3" t="str">
        <f>"Viking"</f>
        <v>Viking</v>
      </c>
      <c r="H3083" s="2" t="str">
        <f>"2020"</f>
        <v>2020</v>
      </c>
      <c r="I3083" s="3" t="str">
        <f>""</f>
        <v/>
      </c>
    </row>
    <row r="3084" spans="1:9" x14ac:dyDescent="0.3">
      <c r="A3084" s="2">
        <v>3083</v>
      </c>
      <c r="B3084" s="4" t="s">
        <v>42</v>
      </c>
      <c r="C3084" s="3" t="str">
        <f>"TFC000002033"</f>
        <v>TFC000002033</v>
      </c>
      <c r="D3084" s="3" t="str">
        <f>"F800-20-2258-(AR 4.1)"</f>
        <v>F800-20-2258-(AR 4.1)</v>
      </c>
      <c r="E3084" s="3" t="str">
        <f>"Flight of the dodo"</f>
        <v>Flight of the dodo</v>
      </c>
      <c r="F3084" s="3" t="str">
        <f>"Peter Brown"</f>
        <v>Peter Brown</v>
      </c>
      <c r="G3084" s="3" t="str">
        <f>"Little, Brown"</f>
        <v>Little, Brown</v>
      </c>
      <c r="H3084" s="2" t="str">
        <f>"2010"</f>
        <v>2010</v>
      </c>
      <c r="I3084" s="3" t="str">
        <f>""</f>
        <v/>
      </c>
    </row>
    <row r="3085" spans="1:9" x14ac:dyDescent="0.3">
      <c r="A3085" s="2">
        <v>3084</v>
      </c>
      <c r="B3085" s="4" t="s">
        <v>42</v>
      </c>
      <c r="C3085" s="3" t="str">
        <f>"TFC000002035"</f>
        <v>TFC000002035</v>
      </c>
      <c r="D3085" s="3" t="str">
        <f>"F800-20-2260-(AR 4.1)"</f>
        <v>F800-20-2260-(AR 4.1)</v>
      </c>
      <c r="E3085" s="3" t="str">
        <f>"(The)jacket"</f>
        <v>(The)jacket</v>
      </c>
      <c r="F3085" s="3" t="str">
        <f>"by Andrew Clements ; illustrated by McDavid Henderson"</f>
        <v>by Andrew Clements ; illustrated by McDavid Henderson</v>
      </c>
      <c r="G3085" s="3" t="str">
        <f>"Aladdin paperbacks"</f>
        <v>Aladdin paperbacks</v>
      </c>
      <c r="H3085" s="2" t="str">
        <f>"2003"</f>
        <v>2003</v>
      </c>
      <c r="I3085" s="3" t="str">
        <f>""</f>
        <v/>
      </c>
    </row>
    <row r="3086" spans="1:9" x14ac:dyDescent="0.3">
      <c r="A3086" s="2">
        <v>3085</v>
      </c>
      <c r="B3086" s="4" t="s">
        <v>42</v>
      </c>
      <c r="C3086" s="3" t="str">
        <f>"TFC000002037"</f>
        <v>TFC000002037</v>
      </c>
      <c r="D3086" s="3" t="str">
        <f>"F800-20-2262-(AR 4.1)"</f>
        <v>F800-20-2262-(AR 4.1)</v>
      </c>
      <c r="E3086" s="3" t="str">
        <f>"Donavan's word jar"</f>
        <v>Donavan's word jar</v>
      </c>
      <c r="F3086" s="3" t="str">
        <f>"Monalisa DeGross ; illustrations by Cheryl Hanna"</f>
        <v>Monalisa DeGross ; illustrations by Cheryl Hanna</v>
      </c>
      <c r="G3086" s="3" t="str">
        <f>"Amistad"</f>
        <v>Amistad</v>
      </c>
      <c r="H3086" s="2" t="str">
        <f>"2019"</f>
        <v>2019</v>
      </c>
      <c r="I3086" s="3" t="str">
        <f>""</f>
        <v/>
      </c>
    </row>
    <row r="3087" spans="1:9" x14ac:dyDescent="0.3">
      <c r="A3087" s="2">
        <v>3086</v>
      </c>
      <c r="B3087" s="4" t="s">
        <v>42</v>
      </c>
      <c r="C3087" s="3" t="str">
        <f>"TFC000002038"</f>
        <v>TFC000002038</v>
      </c>
      <c r="D3087" s="3" t="str">
        <f>"F800-20-2263-(AR 4.1)"</f>
        <v>F800-20-2263-(AR 4.1)</v>
      </c>
      <c r="E3087" s="3" t="str">
        <f>"(The)house of shadows"</f>
        <v>(The)house of shadows</v>
      </c>
      <c r="F3087" s="3" t="str">
        <f>"Karen Dolby ; adapted by Katie Daynes ; illustrated by Adrienne Kern"</f>
        <v>Karen Dolby ; adapted by Katie Daynes ; illustrated by Adrienne Kern</v>
      </c>
      <c r="G3087" s="3" t="str">
        <f>"Usborne"</f>
        <v>Usborne</v>
      </c>
      <c r="H3087" s="2" t="str">
        <f>"2006"</f>
        <v>2006</v>
      </c>
      <c r="I3087" s="3" t="str">
        <f>""</f>
        <v/>
      </c>
    </row>
    <row r="3088" spans="1:9" x14ac:dyDescent="0.3">
      <c r="A3088" s="2">
        <v>3087</v>
      </c>
      <c r="B3088" s="4" t="s">
        <v>42</v>
      </c>
      <c r="C3088" s="3" t="str">
        <f>"TFC000002039"</f>
        <v>TFC000002039</v>
      </c>
      <c r="D3088" s="3" t="str">
        <f>"F800-20-2264-(AR 4.1)"</f>
        <v>F800-20-2264-(AR 4.1)</v>
      </c>
      <c r="E3088" s="3" t="str">
        <f>"(The)mushroom fan club"</f>
        <v>(The)mushroom fan club</v>
      </c>
      <c r="F3088" s="3" t="str">
        <f>"Elise Gravel"</f>
        <v>Elise Gravel</v>
      </c>
      <c r="G3088" s="3" t="str">
        <f>"Enfant"</f>
        <v>Enfant</v>
      </c>
      <c r="H3088" s="2" t="str">
        <f>"2019"</f>
        <v>2019</v>
      </c>
      <c r="I3088" s="3" t="str">
        <f>""</f>
        <v/>
      </c>
    </row>
    <row r="3089" spans="1:9" x14ac:dyDescent="0.3">
      <c r="A3089" s="2">
        <v>3088</v>
      </c>
      <c r="B3089" s="4" t="s">
        <v>42</v>
      </c>
      <c r="C3089" s="3" t="str">
        <f>"TFC000002041"</f>
        <v>TFC000002041</v>
      </c>
      <c r="D3089" s="3" t="str">
        <f>"F800-20-2266-(AR 4.1)"</f>
        <v>F800-20-2266-(AR 4.1)</v>
      </c>
      <c r="E3089" s="3" t="str">
        <f>"Tornadoes!"</f>
        <v>Tornadoes!</v>
      </c>
      <c r="F3089" s="3" t="str">
        <f>"by Lorraine Jean Hopping ; illustrated by Jody Wheeler"</f>
        <v>by Lorraine Jean Hopping ; illustrated by Jody Wheeler</v>
      </c>
      <c r="G3089" s="3" t="str">
        <f>"Scholastic"</f>
        <v>Scholastic</v>
      </c>
      <c r="H3089" s="2" t="str">
        <f>"2003"</f>
        <v>2003</v>
      </c>
      <c r="I3089" s="3" t="str">
        <f>""</f>
        <v/>
      </c>
    </row>
    <row r="3090" spans="1:9" x14ac:dyDescent="0.3">
      <c r="A3090" s="2">
        <v>3089</v>
      </c>
      <c r="B3090" s="4" t="s">
        <v>42</v>
      </c>
      <c r="C3090" s="3" t="str">
        <f>"TFC000002042"</f>
        <v>TFC000002042</v>
      </c>
      <c r="D3090" s="3" t="str">
        <f>"F800-20-2267-(AR 4.1)"</f>
        <v>F800-20-2267-(AR 4.1)</v>
      </c>
      <c r="E3090" s="3" t="str">
        <f>"It came from beneath the bed!"</f>
        <v>It came from beneath the bed!</v>
      </c>
      <c r="F3090" s="3" t="str">
        <f>"James Howe"</f>
        <v>James Howe</v>
      </c>
      <c r="G3090" s="3" t="str">
        <f>"Aladdin"</f>
        <v>Aladdin</v>
      </c>
      <c r="H3090" s="2" t="str">
        <f>"2003"</f>
        <v>2003</v>
      </c>
      <c r="I3090" s="3" t="str">
        <f>""</f>
        <v/>
      </c>
    </row>
    <row r="3091" spans="1:9" x14ac:dyDescent="0.3">
      <c r="A3091" s="2">
        <v>3090</v>
      </c>
      <c r="B3091" s="4" t="s">
        <v>42</v>
      </c>
      <c r="C3091" s="3" t="str">
        <f>"TFC000002045"</f>
        <v>TFC000002045</v>
      </c>
      <c r="D3091" s="3" t="str">
        <f>"F800-20-2270-(AR 4.1)"</f>
        <v>F800-20-2270-(AR 4.1)</v>
      </c>
      <c r="E3091" s="3" t="str">
        <f>"Amelia's science fair disaster : except all experiments by Amelia"</f>
        <v>Amelia's science fair disaster : except all experiments by Amelia</v>
      </c>
      <c r="F3091" s="3" t="str">
        <f>"by Marissa Moss"</f>
        <v>by Marissa Moss</v>
      </c>
      <c r="G3091" s="3" t="str">
        <f>"Simon &amp; Schuster Books for Young Readers"</f>
        <v>Simon &amp; Schuster Books for Young Readers</v>
      </c>
      <c r="H3091" s="2" t="str">
        <f>"2008"</f>
        <v>2008</v>
      </c>
      <c r="I3091" s="3" t="str">
        <f>""</f>
        <v/>
      </c>
    </row>
    <row r="3092" spans="1:9" x14ac:dyDescent="0.3">
      <c r="A3092" s="2">
        <v>3091</v>
      </c>
      <c r="B3092" s="4" t="s">
        <v>42</v>
      </c>
      <c r="C3092" s="3" t="str">
        <f>"TFC000002046"</f>
        <v>TFC000002046</v>
      </c>
      <c r="D3092" s="3" t="str">
        <f>"F800-20-2271-(AR 4.1)"</f>
        <v>F800-20-2271-(AR 4.1)</v>
      </c>
      <c r="E3092" s="3" t="str">
        <f>"Katt vs. Dogg"</f>
        <v>Katt vs. Dogg</v>
      </c>
      <c r="F3092" s="3" t="str">
        <f>"James Patterson, Chris Grabenstein ; illustrated by Anuki Lopez"</f>
        <v>James Patterson, Chris Grabenstein ; illustrated by Anuki Lopez</v>
      </c>
      <c r="G3092" s="3" t="str">
        <f>"Little, Brown and Company"</f>
        <v>Little, Brown and Company</v>
      </c>
      <c r="H3092" s="2" t="str">
        <f>"2019"</f>
        <v>2019</v>
      </c>
      <c r="I3092" s="3" t="str">
        <f>""</f>
        <v/>
      </c>
    </row>
    <row r="3093" spans="1:9" x14ac:dyDescent="0.3">
      <c r="A3093" s="2">
        <v>3092</v>
      </c>
      <c r="B3093" s="4" t="s">
        <v>42</v>
      </c>
      <c r="C3093" s="3" t="str">
        <f>"TFC000002047"</f>
        <v>TFC000002047</v>
      </c>
      <c r="D3093" s="3" t="str">
        <f>"F800-20-2272-(AR 4.1)"</f>
        <v>F800-20-2272-(AR 4.1)</v>
      </c>
      <c r="E3093" s="3" t="str">
        <f>"Everything's amazing"</f>
        <v>Everything's amazing</v>
      </c>
      <c r="F3093" s="3" t="str">
        <f>"by Liz Pichon"</f>
        <v>by Liz Pichon</v>
      </c>
      <c r="G3093" s="3" t="str">
        <f>"Candlewick Press"</f>
        <v>Candlewick Press</v>
      </c>
      <c r="H3093" s="2" t="str">
        <f>"2016"</f>
        <v>2016</v>
      </c>
      <c r="I3093" s="3" t="str">
        <f>""</f>
        <v/>
      </c>
    </row>
    <row r="3094" spans="1:9" x14ac:dyDescent="0.3">
      <c r="A3094" s="2">
        <v>3093</v>
      </c>
      <c r="B3094" s="4" t="s">
        <v>42</v>
      </c>
      <c r="C3094" s="3" t="str">
        <f>"TFC000002048"</f>
        <v>TFC000002048</v>
      </c>
      <c r="D3094" s="3" t="str">
        <f>"F800-20-2273-(AR 4.1)"</f>
        <v>F800-20-2273-(AR 4.1)</v>
      </c>
      <c r="E3094" s="3" t="str">
        <f>"Ricky Ricotta's mighty robot vs the stupid stinkbugs from saturn"</f>
        <v>Ricky Ricotta's mighty robot vs the stupid stinkbugs from saturn</v>
      </c>
      <c r="F3094" s="3" t="str">
        <f>"story by Dav Pilkey ; art by Dan Santat"</f>
        <v>story by Dav Pilkey ; art by Dan Santat</v>
      </c>
      <c r="G3094" s="3" t="str">
        <f>"Scholastic Inc."</f>
        <v>Scholastic Inc.</v>
      </c>
      <c r="H3094" s="2" t="str">
        <f>"2003"</f>
        <v>2003</v>
      </c>
      <c r="I3094" s="3" t="str">
        <f>""</f>
        <v/>
      </c>
    </row>
    <row r="3095" spans="1:9" x14ac:dyDescent="0.3">
      <c r="A3095" s="2">
        <v>3094</v>
      </c>
      <c r="B3095" s="4" t="s">
        <v>42</v>
      </c>
      <c r="C3095" s="3" t="str">
        <f>"TFC000002050"</f>
        <v>TFC000002050</v>
      </c>
      <c r="D3095" s="3" t="str">
        <f>"F800-20-2275-(AR 4.1)"</f>
        <v>F800-20-2275-(AR 4.1)</v>
      </c>
      <c r="E3095" s="3" t="str">
        <f>"Thank you, mr. falker"</f>
        <v>Thank you, mr. falker</v>
      </c>
      <c r="F3095" s="3" t="str">
        <f>"Patricia Polacco"</f>
        <v>Patricia Polacco</v>
      </c>
      <c r="G3095" s="3" t="str">
        <f>"Philomel Books"</f>
        <v>Philomel Books</v>
      </c>
      <c r="H3095" s="2" t="str">
        <f>"1998"</f>
        <v>1998</v>
      </c>
      <c r="I3095" s="3" t="str">
        <f>""</f>
        <v/>
      </c>
    </row>
    <row r="3096" spans="1:9" x14ac:dyDescent="0.3">
      <c r="A3096" s="2">
        <v>3095</v>
      </c>
      <c r="B3096" s="4" t="s">
        <v>42</v>
      </c>
      <c r="C3096" s="3" t="str">
        <f>"TFC000002051"</f>
        <v>TFC000002051</v>
      </c>
      <c r="D3096" s="3" t="str">
        <f>"F800-20-2276-(AR 4.1)"</f>
        <v>F800-20-2276-(AR 4.1)</v>
      </c>
      <c r="E3096" s="3" t="str">
        <f>"(The)relatives came"</f>
        <v>(The)relatives came</v>
      </c>
      <c r="F3096" s="3" t="str">
        <f>"story by Cynthia Rylant ; illustrated by Stephen Gammell"</f>
        <v>story by Cynthia Rylant ; illustrated by Stephen Gammell</v>
      </c>
      <c r="G3096" s="3" t="str">
        <f>"Atheneum Books for Young Readers"</f>
        <v>Atheneum Books for Young Readers</v>
      </c>
      <c r="H3096" s="2" t="str">
        <f>"1993"</f>
        <v>1993</v>
      </c>
      <c r="I3096" s="3" t="str">
        <f>""</f>
        <v/>
      </c>
    </row>
    <row r="3097" spans="1:9" x14ac:dyDescent="0.3">
      <c r="A3097" s="2">
        <v>3096</v>
      </c>
      <c r="B3097" s="4" t="s">
        <v>42</v>
      </c>
      <c r="C3097" s="3" t="str">
        <f>"TFC000002052"</f>
        <v>TFC000002052</v>
      </c>
      <c r="D3097" s="3" t="str">
        <f>"F800-20-2277-(AR 4.1)"</f>
        <v>F800-20-2277-(AR 4.1)</v>
      </c>
      <c r="E3097" s="3" t="str">
        <f>"Wish on all the stars"</f>
        <v>Wish on all the stars</v>
      </c>
      <c r="F3097" s="3" t="str">
        <f>"by Lisa Schroeder"</f>
        <v>by Lisa Schroeder</v>
      </c>
      <c r="G3097" s="3" t="str">
        <f>"Scholastic Press"</f>
        <v>Scholastic Press</v>
      </c>
      <c r="H3097" s="2" t="str">
        <f>"2019"</f>
        <v>2019</v>
      </c>
      <c r="I3097" s="3" t="str">
        <f>""</f>
        <v/>
      </c>
    </row>
    <row r="3098" spans="1:9" x14ac:dyDescent="0.3">
      <c r="A3098" s="2">
        <v>3097</v>
      </c>
      <c r="B3098" s="4" t="s">
        <v>42</v>
      </c>
      <c r="C3098" s="3" t="str">
        <f>"TFC000002054"</f>
        <v>TFC000002054</v>
      </c>
      <c r="D3098" s="3" t="str">
        <f>"F800-20-2279-(AR 4.1)"</f>
        <v>F800-20-2279-(AR 4.1)</v>
      </c>
      <c r="E3098" s="3" t="str">
        <f>"(The story of)castles"</f>
        <v>(The story of)castles</v>
      </c>
      <c r="F3098" s="3" t="str">
        <f>"Lesley Sims ; illustrated by Teri Gower"</f>
        <v>Lesley Sims ; illustrated by Teri Gower</v>
      </c>
      <c r="G3098" s="3" t="str">
        <f>"Usborne"</f>
        <v>Usborne</v>
      </c>
      <c r="H3098" s="2" t="str">
        <f>"2006"</f>
        <v>2006</v>
      </c>
      <c r="I3098" s="3" t="str">
        <f>""</f>
        <v/>
      </c>
    </row>
    <row r="3099" spans="1:9" x14ac:dyDescent="0.3">
      <c r="A3099" s="2">
        <v>3098</v>
      </c>
      <c r="B3099" s="4" t="s">
        <v>42</v>
      </c>
      <c r="C3099" s="3" t="str">
        <f>"TFC000002055"</f>
        <v>TFC000002055</v>
      </c>
      <c r="D3099" s="3" t="str">
        <f>"F800-20-2280-(AR 4.1)"</f>
        <v>F800-20-2280-(AR 4.1)</v>
      </c>
      <c r="E3099" s="3" t="str">
        <f>"Just ask! : be different, be brave, be you"</f>
        <v>Just ask! : be different, be brave, be you</v>
      </c>
      <c r="F3099" s="3" t="str">
        <f>"Sonia Sotomayor ; illustrated by Rafael Lopez"</f>
        <v>Sonia Sotomayor ; illustrated by Rafael Lopez</v>
      </c>
      <c r="G3099" s="3" t="str">
        <f>"Philomel Books"</f>
        <v>Philomel Books</v>
      </c>
      <c r="H3099" s="2" t="str">
        <f>"2019"</f>
        <v>2019</v>
      </c>
      <c r="I3099" s="3" t="str">
        <f>""</f>
        <v/>
      </c>
    </row>
    <row r="3100" spans="1:9" x14ac:dyDescent="0.3">
      <c r="A3100" s="2">
        <v>3099</v>
      </c>
      <c r="B3100" s="4" t="s">
        <v>42</v>
      </c>
      <c r="C3100" s="3" t="str">
        <f>"TFC000002056"</f>
        <v>TFC000002056</v>
      </c>
      <c r="D3100" s="3" t="str">
        <f>"F800-20-2281-(AR 4.1)"</f>
        <v>F800-20-2281-(AR 4.1)</v>
      </c>
      <c r="E3100" s="3" t="str">
        <f>"Cut down to size at high noon : a math adventure"</f>
        <v>Cut down to size at high noon : a math adventure</v>
      </c>
      <c r="F3100" s="3" t="str">
        <f>"Scott Sundby ; illustrated by Wayne Geehan"</f>
        <v>Scott Sundby ; illustrated by Wayne Geehan</v>
      </c>
      <c r="G3100" s="3" t="str">
        <f>"Charlesbridge"</f>
        <v>Charlesbridge</v>
      </c>
      <c r="H3100" s="2" t="str">
        <f>"2000"</f>
        <v>2000</v>
      </c>
      <c r="I3100" s="3" t="str">
        <f>""</f>
        <v/>
      </c>
    </row>
    <row r="3101" spans="1:9" x14ac:dyDescent="0.3">
      <c r="A3101" s="2">
        <v>3100</v>
      </c>
      <c r="B3101" s="4" t="s">
        <v>42</v>
      </c>
      <c r="C3101" s="3" t="str">
        <f>"TFC000002057"</f>
        <v>TFC000002057</v>
      </c>
      <c r="D3101" s="3" t="str">
        <f>"F800-20-2282-(AR 4.1)"</f>
        <v>F800-20-2282-(AR 4.1)</v>
      </c>
      <c r="E3101" s="3" t="str">
        <f>"(The)39 clues. 7, the viper's nest"</f>
        <v>(The)39 clues. 7, the viper's nest</v>
      </c>
      <c r="F3101" s="3" t="str">
        <f>"Peter Lerangis"</f>
        <v>Peter Lerangis</v>
      </c>
      <c r="G3101" s="3" t="str">
        <f>"Scholastic"</f>
        <v>Scholastic</v>
      </c>
      <c r="H3101" s="2" t="str">
        <f>"2010"</f>
        <v>2010</v>
      </c>
      <c r="I3101" s="3" t="str">
        <f>""</f>
        <v/>
      </c>
    </row>
    <row r="3102" spans="1:9" x14ac:dyDescent="0.3">
      <c r="A3102" s="2">
        <v>3101</v>
      </c>
      <c r="B3102" s="4" t="s">
        <v>42</v>
      </c>
      <c r="C3102" s="3" t="str">
        <f>"TFC000002058"</f>
        <v>TFC000002058</v>
      </c>
      <c r="D3102" s="3" t="str">
        <f>"F800-20-2283-(AR 4.1)"</f>
        <v>F800-20-2283-(AR 4.1)</v>
      </c>
      <c r="E3102" s="3" t="str">
        <f>"Christmas catastrophe"</f>
        <v>Christmas catastrophe</v>
      </c>
      <c r="F3102" s="3" t="str">
        <f>"Geronimo Stilton ; illustrated by Silvia Bigolin, Christian Aliprandi, Davide Turotti ; translated by Lidia Morson Tramontozzi"</f>
        <v>Geronimo Stilton ; illustrated by Silvia Bigolin, Christian Aliprandi, Davide Turotti ; translated by Lidia Morson Tramontozzi</v>
      </c>
      <c r="G3102" s="3" t="str">
        <f>"Scholastic"</f>
        <v>Scholastic</v>
      </c>
      <c r="H3102" s="2" t="str">
        <f>"2007"</f>
        <v>2007</v>
      </c>
      <c r="I3102" s="3" t="str">
        <f>""</f>
        <v/>
      </c>
    </row>
    <row r="3103" spans="1:9" x14ac:dyDescent="0.3">
      <c r="A3103" s="2">
        <v>3102</v>
      </c>
      <c r="B3103" s="4" t="s">
        <v>42</v>
      </c>
      <c r="C3103" s="3" t="str">
        <f>"TFC000002059"</f>
        <v>TFC000002059</v>
      </c>
      <c r="D3103" s="3" t="str">
        <f>"F800-20-2284-(AR 4.1)"</f>
        <v>F800-20-2284-(AR 4.1)</v>
      </c>
      <c r="E3103" s="3" t="str">
        <f>"Valley of the giant skeletons"</f>
        <v>Valley of the giant skeletons</v>
      </c>
      <c r="F3103" s="3" t="str">
        <f>"by Geronimo Stilton ; illustrations by Claudio Cernuschi, Christian Aliprandi"</f>
        <v>by Geronimo Stilton ; illustrations by Claudio Cernuschi, Christian Aliprandi</v>
      </c>
      <c r="G3103" s="3" t="str">
        <f>"Scholastic"</f>
        <v>Scholastic</v>
      </c>
      <c r="H3103" s="2" t="str">
        <f>"2008"</f>
        <v>2008</v>
      </c>
      <c r="I3103" s="3" t="str">
        <f>""</f>
        <v/>
      </c>
    </row>
    <row r="3104" spans="1:9" x14ac:dyDescent="0.3">
      <c r="A3104" s="2">
        <v>3103</v>
      </c>
      <c r="B3104" s="4" t="s">
        <v>42</v>
      </c>
      <c r="C3104" s="3" t="str">
        <f>"TFC000002060"</f>
        <v>TFC000002060</v>
      </c>
      <c r="D3104" s="3" t="str">
        <f>"F900-20-2290-(AR 4.1)"</f>
        <v>F900-20-2290-(AR 4.1)</v>
      </c>
      <c r="E3104" s="3" t="str">
        <f>"Who was Helen Keller?"</f>
        <v>Who was Helen Keller?</v>
      </c>
      <c r="F3104" s="3" t="str">
        <f>"by Gare Thompson ; illustrated by Nancy Harrison"</f>
        <v>by Gare Thompson ; illustrated by Nancy Harrison</v>
      </c>
      <c r="G3104" s="3" t="str">
        <f>"Grosset &amp; Dunlap"</f>
        <v>Grosset &amp; Dunlap</v>
      </c>
      <c r="H3104" s="2" t="str">
        <f>"2003"</f>
        <v>2003</v>
      </c>
      <c r="I3104" s="3" t="str">
        <f>""</f>
        <v/>
      </c>
    </row>
    <row r="3105" spans="1:9" x14ac:dyDescent="0.3">
      <c r="A3105" s="2">
        <v>3104</v>
      </c>
      <c r="B3105" s="4" t="s">
        <v>42</v>
      </c>
      <c r="C3105" s="3" t="str">
        <f>"TFC000002899"</f>
        <v>TFC000002899</v>
      </c>
      <c r="D3105" s="3" t="str">
        <f>"F800-20-2285-(AR 4.1)"</f>
        <v>F800-20-2285-(AR 4.1)</v>
      </c>
      <c r="E3105" s="3" t="str">
        <f>"(The)skeleton in the Smithsonian"</f>
        <v>(The)skeleton in the Smithsonian</v>
      </c>
      <c r="F3105" s="3" t="str">
        <f>"by Ron Roy ; illustrated by Timothy Bush"</f>
        <v>by Ron Roy ; illustrated by Timothy Bush</v>
      </c>
      <c r="G3105" s="3" t="str">
        <f>"Random House"</f>
        <v>Random House</v>
      </c>
      <c r="H3105" s="2" t="str">
        <f>"2009"</f>
        <v>2009</v>
      </c>
      <c r="I3105" s="3" t="str">
        <f>""</f>
        <v/>
      </c>
    </row>
    <row r="3106" spans="1:9" x14ac:dyDescent="0.3">
      <c r="A3106" s="2">
        <v>3105</v>
      </c>
      <c r="B3106" s="4" t="s">
        <v>42</v>
      </c>
      <c r="C3106" s="3" t="str">
        <f>"TFC000002900"</f>
        <v>TFC000002900</v>
      </c>
      <c r="D3106" s="3" t="str">
        <f>"F800-20-2286-(AR 4.1)"</f>
        <v>F800-20-2286-(AR 4.1)</v>
      </c>
      <c r="E3106" s="3" t="str">
        <f>"Five true horse stories"</f>
        <v>Five true horse stories</v>
      </c>
      <c r="F3106" s="3" t="str">
        <f>"by Margaret Davidson ; illustrated by Leo Summers ; cover illustration by Sandy Rabinowitz"</f>
        <v>by Margaret Davidson ; illustrated by Leo Summers ; cover illustration by Sandy Rabinowitz</v>
      </c>
      <c r="G3106" s="3" t="str">
        <f>"Scholastic"</f>
        <v>Scholastic</v>
      </c>
      <c r="H3106" s="2" t="str">
        <f>"1979"</f>
        <v>1979</v>
      </c>
      <c r="I3106" s="3" t="str">
        <f>""</f>
        <v/>
      </c>
    </row>
    <row r="3107" spans="1:9" x14ac:dyDescent="0.3">
      <c r="A3107" s="2">
        <v>3106</v>
      </c>
      <c r="B3107" s="4" t="s">
        <v>42</v>
      </c>
      <c r="C3107" s="3" t="str">
        <f>"TFC000003055"</f>
        <v>TFC000003055</v>
      </c>
      <c r="D3107" s="3" t="str">
        <f>"F500-20-2245-(AR 4.1)"</f>
        <v>F500-20-2245-(AR 4.1)</v>
      </c>
      <c r="E3107" s="3" t="str">
        <f>"10 things you can do to reduce, reuse, and recycle"</f>
        <v>10 things you can do to reduce, reuse, and recycle</v>
      </c>
      <c r="F3107" s="3" t="str">
        <f>"by Elizabeth Weitzman"</f>
        <v>by Elizabeth Weitzman</v>
      </c>
      <c r="G3107" s="3" t="str">
        <f>"Children's Press"</f>
        <v>Children's Press</v>
      </c>
      <c r="H3107" s="2" t="str">
        <f>"2017"</f>
        <v>2017</v>
      </c>
      <c r="I3107" s="3" t="str">
        <f>""</f>
        <v/>
      </c>
    </row>
    <row r="3108" spans="1:9" x14ac:dyDescent="0.3">
      <c r="A3108" s="2">
        <v>3107</v>
      </c>
      <c r="B3108" s="4" t="s">
        <v>42</v>
      </c>
      <c r="C3108" s="3" t="str">
        <f>"TFC000003092"</f>
        <v>TFC000003092</v>
      </c>
      <c r="D3108" s="3" t="str">
        <f>"F800-20-2287-(AR 4.1)"</f>
        <v>F800-20-2287-(AR 4.1)</v>
      </c>
      <c r="E3108" s="3" t="str">
        <f>"(The)missing movie"</f>
        <v>(The)missing movie</v>
      </c>
      <c r="F3108" s="3" t="str">
        <f>"Geronimo Stilton ; illustrations by Danilo Loizedda, Daria Cerchi, Serena Gianoli ; translated by Anna Pizzelli"</f>
        <v>Geronimo Stilton ; illustrations by Danilo Loizedda, Daria Cerchi, Serena Gianoli ; translated by Anna Pizzelli</v>
      </c>
      <c r="G3108" s="3" t="str">
        <f>"Scholastic"</f>
        <v>Scholastic</v>
      </c>
      <c r="H3108" s="2" t="str">
        <f>"2019"</f>
        <v>2019</v>
      </c>
      <c r="I3108" s="3" t="str">
        <f>""</f>
        <v/>
      </c>
    </row>
    <row r="3109" spans="1:9" x14ac:dyDescent="0.3">
      <c r="A3109" s="2">
        <v>3108</v>
      </c>
      <c r="B3109" s="4" t="s">
        <v>42</v>
      </c>
      <c r="C3109" s="3" t="str">
        <f>"TFC000003180"</f>
        <v>TFC000003180</v>
      </c>
      <c r="D3109" s="3" t="str">
        <f>"F800-20-2289-(AR 4.1)"</f>
        <v>F800-20-2289-(AR 4.1)</v>
      </c>
      <c r="E3109" s="3" t="str">
        <f>"(The)lemonade war"</f>
        <v>(The)lemonade war</v>
      </c>
      <c r="F3109" s="3" t="str">
        <f>"by Jacqueline Davies"</f>
        <v>by Jacqueline Davies</v>
      </c>
      <c r="G3109" s="3" t="str">
        <f>"Sandpiper:Houghton Mifflin"</f>
        <v>Sandpiper:Houghton Mifflin</v>
      </c>
      <c r="H3109" s="2" t="str">
        <f>"2007"</f>
        <v>2007</v>
      </c>
      <c r="I3109" s="3" t="str">
        <f>""</f>
        <v/>
      </c>
    </row>
    <row r="3110" spans="1:9" x14ac:dyDescent="0.3">
      <c r="A3110" s="2">
        <v>3109</v>
      </c>
      <c r="B3110" s="4" t="s">
        <v>42</v>
      </c>
      <c r="C3110" s="3" t="str">
        <f>"TFC000003390"</f>
        <v>TFC000003390</v>
      </c>
      <c r="D3110" s="3" t="str">
        <f>"F800-21-0750-(AR 4.1)"</f>
        <v>F800-21-0750-(AR 4.1)</v>
      </c>
      <c r="E3110" s="3" t="str">
        <f>"Frankie Sparks and the big sled challenge"</f>
        <v>Frankie Sparks and the big sled challenge</v>
      </c>
      <c r="F3110" s="3" t="str">
        <f>"by Megan Frazer Blakemore ; illustrated by Nadja Sarell"</f>
        <v>by Megan Frazer Blakemore ; illustrated by Nadja Sarell</v>
      </c>
      <c r="G3110" s="3" t="str">
        <f>"Aladdin"</f>
        <v>Aladdin</v>
      </c>
      <c r="H3110" s="2" t="str">
        <f>"2019"</f>
        <v>2019</v>
      </c>
      <c r="I3110" s="3" t="str">
        <f>""</f>
        <v/>
      </c>
    </row>
    <row r="3111" spans="1:9" x14ac:dyDescent="0.3">
      <c r="A3111" s="2">
        <v>3110</v>
      </c>
      <c r="B3111" s="4" t="s">
        <v>42</v>
      </c>
      <c r="C3111" s="3" t="str">
        <f>"TFC000003392"</f>
        <v>TFC000003392</v>
      </c>
      <c r="D3111" s="3" t="str">
        <f>"F500-21-0749-(AR 4.1)"</f>
        <v>F500-21-0749-(AR 4.1)</v>
      </c>
      <c r="E3111" s="3" t="str">
        <f>"What is COVID-19?"</f>
        <v>What is COVID-19?</v>
      </c>
      <c r="F3111" s="3" t="str">
        <f>"by Sara Latta"</f>
        <v>by Sara Latta</v>
      </c>
      <c r="G3111" s="3" t="str">
        <f>"The Child's World"</f>
        <v>The Child's World</v>
      </c>
      <c r="H3111" s="2" t="str">
        <f>"2021"</f>
        <v>2021</v>
      </c>
      <c r="I3111" s="3" t="str">
        <f>""</f>
        <v/>
      </c>
    </row>
    <row r="3112" spans="1:9" x14ac:dyDescent="0.3">
      <c r="A3112" s="2">
        <v>3111</v>
      </c>
      <c r="B3112" s="4" t="s">
        <v>42</v>
      </c>
      <c r="C3112" s="3" t="str">
        <f>"TFC000003393"</f>
        <v>TFC000003393</v>
      </c>
      <c r="D3112" s="3" t="str">
        <f>"F800-21-0752-(AR 4.1)"</f>
        <v>F800-21-0752-(AR 4.1)</v>
      </c>
      <c r="E3112" s="3" t="str">
        <f>"Blueberries for sal"</f>
        <v>Blueberries for sal</v>
      </c>
      <c r="F3112" s="3" t="str">
        <f>"by Robert Mccloskey"</f>
        <v>by Robert Mccloskey</v>
      </c>
      <c r="G3112" s="3" t="str">
        <f>"Puffin Books"</f>
        <v>Puffin Books</v>
      </c>
      <c r="H3112" s="2" t="str">
        <f>"1976"</f>
        <v>1976</v>
      </c>
      <c r="I3112" s="3" t="str">
        <f>""</f>
        <v/>
      </c>
    </row>
    <row r="3113" spans="1:9" x14ac:dyDescent="0.3">
      <c r="A3113" s="2">
        <v>3112</v>
      </c>
      <c r="B3113" s="4" t="s">
        <v>42</v>
      </c>
      <c r="C3113" s="3" t="str">
        <f>"TFC000003477"</f>
        <v>TFC000003477</v>
      </c>
      <c r="D3113" s="3" t="str">
        <f>"F800-21-0753-(AR 4.1)"</f>
        <v>F800-21-0753-(AR 4.1)</v>
      </c>
      <c r="E3113" s="3" t="str">
        <f>"(The)case of the case of mistaken identity"</f>
        <v>(The)case of the case of mistaken identity</v>
      </c>
      <c r="F3113" s="3" t="str">
        <f>"by Mac Barnett ; illustrations by Adam Rex"</f>
        <v>by Mac Barnett ; illustrations by Adam Rex</v>
      </c>
      <c r="G3113" s="3" t="str">
        <f>"Simon &amp; Schuster Books for Young Readers"</f>
        <v>Simon &amp; Schuster Books for Young Readers</v>
      </c>
      <c r="H3113" s="2" t="str">
        <f>"2010"</f>
        <v>2010</v>
      </c>
      <c r="I3113" s="3" t="str">
        <f>""</f>
        <v/>
      </c>
    </row>
    <row r="3114" spans="1:9" x14ac:dyDescent="0.3">
      <c r="A3114" s="2">
        <v>3113</v>
      </c>
      <c r="B3114" s="4" t="s">
        <v>42</v>
      </c>
      <c r="C3114" s="3" t="str">
        <f>"TFC000003480"</f>
        <v>TFC000003480</v>
      </c>
      <c r="D3114" s="3" t="str">
        <f>"F800-21-0754-(AR 4.1)"</f>
        <v>F800-21-0754-(AR 4.1)</v>
      </c>
      <c r="E3114" s="3" t="str">
        <f>"Danger goes berserk"</f>
        <v>Danger goes berserk</v>
      </c>
      <c r="F3114" s="3" t="str">
        <f>"by Mac Barnett ; illustrations by Adam Rex"</f>
        <v>by Mac Barnett ; illustrations by Adam Rex</v>
      </c>
      <c r="G3114" s="3" t="str">
        <f>"Simon &amp; Schuster Books for Young Readers"</f>
        <v>Simon &amp; Schuster Books for Young Readers</v>
      </c>
      <c r="H3114" s="2" t="str">
        <f>"2013"</f>
        <v>2013</v>
      </c>
      <c r="I3114" s="3" t="str">
        <f>""</f>
        <v/>
      </c>
    </row>
    <row r="3115" spans="1:9" x14ac:dyDescent="0.3">
      <c r="A3115" s="2">
        <v>3114</v>
      </c>
      <c r="B3115" s="4" t="s">
        <v>42</v>
      </c>
      <c r="C3115" s="3" t="str">
        <f>"TFC000003888"</f>
        <v>TFC000003888</v>
      </c>
      <c r="D3115" s="3" t="str">
        <f>"F800-21-0756-(AR 4.1)"</f>
        <v>F800-21-0756-(AR 4.1)</v>
      </c>
      <c r="E3115" s="3" t="str">
        <f>"(The)Running dream"</f>
        <v>(The)Running dream</v>
      </c>
      <c r="F3115" s="3" t="str">
        <f>"Wendelin Van Draanen"</f>
        <v>Wendelin Van Draanen</v>
      </c>
      <c r="G3115" s="3" t="str">
        <f>"Ember"</f>
        <v>Ember</v>
      </c>
      <c r="H3115" s="2" t="str">
        <f>"2012"</f>
        <v>2012</v>
      </c>
      <c r="I3115" s="3" t="str">
        <f>""</f>
        <v/>
      </c>
    </row>
    <row r="3116" spans="1:9" x14ac:dyDescent="0.3">
      <c r="A3116" s="2">
        <v>3115</v>
      </c>
      <c r="B3116" s="4" t="s">
        <v>42</v>
      </c>
      <c r="C3116" s="3" t="str">
        <f>"TFC000004013"</f>
        <v>TFC000004013</v>
      </c>
      <c r="D3116" s="3" t="str">
        <f>"F900-21-0761-(AR 4.1)"</f>
        <v>F900-21-0761-(AR 4.1)</v>
      </c>
      <c r="E3116" s="3" t="str">
        <f>"Pirate queen : a story of Zheng Yi Sao"</f>
        <v>Pirate queen : a story of Zheng Yi Sao</v>
      </c>
      <c r="F3116" s="3" t="str">
        <f>"Helaine Becker, pictures by Liz Wong"</f>
        <v>Helaine Becker, pictures by Liz Wong</v>
      </c>
      <c r="G3116" s="3" t="str">
        <f>"Groundwood Books"</f>
        <v>Groundwood Books</v>
      </c>
      <c r="H3116" s="2" t="str">
        <f>"2020"</f>
        <v>2020</v>
      </c>
      <c r="I3116" s="3" t="str">
        <f>""</f>
        <v/>
      </c>
    </row>
    <row r="3117" spans="1:9" x14ac:dyDescent="0.3">
      <c r="A3117" s="2">
        <v>3116</v>
      </c>
      <c r="B3117" s="4" t="s">
        <v>42</v>
      </c>
      <c r="C3117" s="3" t="str">
        <f>"TFC000004067"</f>
        <v>TFC000004067</v>
      </c>
      <c r="D3117" s="3" t="str">
        <f>"F800-21-0758-(AR 4.1)"</f>
        <v>F800-21-0758-(AR 4.1)</v>
      </c>
      <c r="E3117" s="3" t="str">
        <f>"Playing the cards you're dealt"</f>
        <v>Playing the cards you're dealt</v>
      </c>
      <c r="F3117" s="3" t="str">
        <f>"by Varian Johnson"</f>
        <v>by Varian Johnson</v>
      </c>
      <c r="G3117" s="3" t="str">
        <f>"Scholastic"</f>
        <v>Scholastic</v>
      </c>
      <c r="H3117" s="2" t="str">
        <f>"2021"</f>
        <v>2021</v>
      </c>
      <c r="I3117" s="3" t="str">
        <f>""</f>
        <v/>
      </c>
    </row>
    <row r="3118" spans="1:9" x14ac:dyDescent="0.3">
      <c r="A3118" s="2">
        <v>3117</v>
      </c>
      <c r="B3118" s="4" t="s">
        <v>42</v>
      </c>
      <c r="C3118" s="3" t="str">
        <f>"TFC000004068"</f>
        <v>TFC000004068</v>
      </c>
      <c r="D3118" s="3" t="str">
        <f>"F800-21-0759-(AR 4.1)"</f>
        <v>F800-21-0759-(AR 4.1)</v>
      </c>
      <c r="E3118" s="3" t="str">
        <f>"Dog Squad"</f>
        <v>Dog Squad</v>
      </c>
      <c r="F3118" s="3" t="str">
        <f>"by Chris Grabenstein, illustrated by Beth Hughes"</f>
        <v>by Chris Grabenstein, illustrated by Beth Hughes</v>
      </c>
      <c r="G3118" s="3" t="str">
        <f>"Random House Books for Young Readers"</f>
        <v>Random House Books for Young Readers</v>
      </c>
      <c r="H3118" s="2" t="str">
        <f>"2021"</f>
        <v>2021</v>
      </c>
      <c r="I3118" s="3" t="str">
        <f>""</f>
        <v/>
      </c>
    </row>
    <row r="3119" spans="1:9" x14ac:dyDescent="0.3">
      <c r="A3119" s="2">
        <v>3118</v>
      </c>
      <c r="B3119" s="4" t="s">
        <v>42</v>
      </c>
      <c r="C3119" s="3" t="str">
        <f>"TFC000004069"</f>
        <v>TFC000004069</v>
      </c>
      <c r="D3119" s="3" t="str">
        <f>"F800-21-0760-(AR 4.1)"</f>
        <v>F800-21-0760-(AR 4.1)</v>
      </c>
      <c r="E3119" s="3" t="str">
        <f>"Deadman's Castle"</f>
        <v>Deadman's Castle</v>
      </c>
      <c r="F3119" s="3" t="str">
        <f>"by Iain Lawrence"</f>
        <v>by Iain Lawrence</v>
      </c>
      <c r="G3119" s="3" t="str">
        <f>"Margaret Ferguson Books"</f>
        <v>Margaret Ferguson Books</v>
      </c>
      <c r="H3119" s="2" t="str">
        <f>"2021"</f>
        <v>2021</v>
      </c>
      <c r="I3119" s="3" t="str">
        <f>""</f>
        <v/>
      </c>
    </row>
    <row r="3120" spans="1:9" x14ac:dyDescent="0.3">
      <c r="A3120" s="2">
        <v>3119</v>
      </c>
      <c r="B3120" s="4" t="s">
        <v>42</v>
      </c>
      <c r="C3120" s="3" t="str">
        <f>"TFC000004218"</f>
        <v>TFC000004218</v>
      </c>
      <c r="D3120" s="3" t="str">
        <f>"F800-22-0067-(AR 4.1)"</f>
        <v>F800-22-0067-(AR 4.1)</v>
      </c>
      <c r="E3120" s="3" t="str">
        <f>"Mayflower treasure hunt"</f>
        <v>Mayflower treasure hunt</v>
      </c>
      <c r="F3120" s="3" t="str">
        <f>"by Ron Roy, illustrated by John Steven Gurney"</f>
        <v>by Ron Roy, illustrated by John Steven Gurney</v>
      </c>
      <c r="G3120" s="3" t="str">
        <f>"Random House"</f>
        <v>Random House</v>
      </c>
      <c r="H3120" s="2" t="str">
        <f>"2015"</f>
        <v>2015</v>
      </c>
      <c r="I3120" s="3" t="str">
        <f>""</f>
        <v/>
      </c>
    </row>
    <row r="3121" spans="1:9" x14ac:dyDescent="0.3">
      <c r="A3121" s="2">
        <v>3120</v>
      </c>
      <c r="B3121" s="4" t="s">
        <v>42</v>
      </c>
      <c r="C3121" s="3" t="str">
        <f>"TFC000004395"</f>
        <v>TFC000004395</v>
      </c>
      <c r="D3121" s="3" t="str">
        <f>"F900-22-0204-(AR 4.1)"</f>
        <v>F900-22-0204-(AR 4.1)</v>
      </c>
      <c r="E3121" s="3" t="str">
        <f>"Drawing from Memory"</f>
        <v>Drawing from Memory</v>
      </c>
      <c r="F3121" s="3" t="str">
        <f>"by Allen Say"</f>
        <v>by Allen Say</v>
      </c>
      <c r="G3121" s="3" t="str">
        <f>"Scholastic"</f>
        <v>Scholastic</v>
      </c>
      <c r="H3121" s="2" t="str">
        <f>"2011"</f>
        <v>2011</v>
      </c>
      <c r="I3121" s="3" t="str">
        <f>""</f>
        <v/>
      </c>
    </row>
    <row r="3122" spans="1:9" x14ac:dyDescent="0.3">
      <c r="A3122" s="2">
        <v>3121</v>
      </c>
      <c r="B3122" s="4" t="s">
        <v>42</v>
      </c>
      <c r="C3122" s="3" t="str">
        <f>"TFC000004808"</f>
        <v>TFC000004808</v>
      </c>
      <c r="D3122" s="3" t="str">
        <f>"F800-22-0546-(AR 4.1)"</f>
        <v>F800-22-0546-(AR 4.1)</v>
      </c>
      <c r="E3122" s="3" t="str">
        <f>"When you trap a tiger"</f>
        <v>When you trap a tiger</v>
      </c>
      <c r="F3122" s="3" t="str">
        <f>"by Tae Keller"</f>
        <v>by Tae Keller</v>
      </c>
      <c r="G3122" s="3" t="str">
        <f>"Random House"</f>
        <v>Random House</v>
      </c>
      <c r="H3122" s="2" t="str">
        <f>"2020"</f>
        <v>2020</v>
      </c>
      <c r="I3122" s="3" t="str">
        <f>""</f>
        <v/>
      </c>
    </row>
    <row r="3123" spans="1:9" x14ac:dyDescent="0.3">
      <c r="A3123" s="2">
        <v>3122</v>
      </c>
      <c r="B3123" s="4" t="s">
        <v>42</v>
      </c>
      <c r="C3123" s="3" t="str">
        <f>"TFC000004801"</f>
        <v>TFC000004801</v>
      </c>
      <c r="D3123" s="3" t="str">
        <f>"F800-22-0539-(AR 4.1)"</f>
        <v>F800-22-0539-(AR 4.1)</v>
      </c>
      <c r="E3123" s="3" t="str">
        <f>"Fantastic Mr. Fox"</f>
        <v>Fantastic Mr. Fox</v>
      </c>
      <c r="F3123" s="3" t="str">
        <f>"by Roald Dahl, illustrated by Quentin Blake"</f>
        <v>by Roald Dahl, illustrated by Quentin Blake</v>
      </c>
      <c r="G3123" s="3" t="str">
        <f>"Penguin Books"</f>
        <v>Penguin Books</v>
      </c>
      <c r="H3123" s="2" t="str">
        <f>"2014"</f>
        <v>2014</v>
      </c>
      <c r="I3123" s="3" t="str">
        <f>""</f>
        <v/>
      </c>
    </row>
    <row r="3124" spans="1:9" x14ac:dyDescent="0.3">
      <c r="A3124" s="2">
        <v>3123</v>
      </c>
      <c r="B3124" s="4" t="s">
        <v>42</v>
      </c>
      <c r="C3124" s="3" t="str">
        <f>"TFC000004494"</f>
        <v>TFC000004494</v>
      </c>
      <c r="D3124" s="3" t="str">
        <f>"F800-22-0303-(AR4.1)"</f>
        <v>F800-22-0303-(AR4.1)</v>
      </c>
      <c r="E3124" s="3" t="str">
        <f>"Amelia Bedelia scared silly"</f>
        <v>Amelia Bedelia scared silly</v>
      </c>
      <c r="F3124" s="3" t="str">
        <f>"by Herman Parish, pictures by Lynne Avril"</f>
        <v>by Herman Parish, pictures by Lynne Avril</v>
      </c>
      <c r="G3124" s="3" t="str">
        <f>"Greenwillow Books"</f>
        <v>Greenwillow Books</v>
      </c>
      <c r="H3124" s="2" t="str">
        <f>"2021"</f>
        <v>2021</v>
      </c>
      <c r="I3124" s="3" t="str">
        <f>""</f>
        <v/>
      </c>
    </row>
    <row r="3125" spans="1:9" x14ac:dyDescent="0.3">
      <c r="A3125" s="2">
        <v>3124</v>
      </c>
      <c r="B3125" s="4" t="s">
        <v>42</v>
      </c>
      <c r="C3125" s="3" t="str">
        <f>"TFC000004370"</f>
        <v>TFC000004370</v>
      </c>
      <c r="D3125" s="3" t="str">
        <f>"F800-22-0179-(AR4.1)"</f>
        <v>F800-22-0179-(AR4.1)</v>
      </c>
      <c r="E3125" s="3" t="str">
        <f>"The Sea Turtle Mystery"</f>
        <v>The Sea Turtle Mystery</v>
      </c>
      <c r="F3125" s="3" t="str">
        <f>"by Gertrude Chandler Warner, illstrated by Liz Brizzi"</f>
        <v>by Gertrude Chandler Warner, illstrated by Liz Brizzi</v>
      </c>
      <c r="G3125" s="3" t="str">
        <f>"Albert Whitman &amp; Company"</f>
        <v>Albert Whitman &amp; Company</v>
      </c>
      <c r="H3125" s="2" t="str">
        <f>"2022"</f>
        <v>2022</v>
      </c>
      <c r="I3125" s="3" t="str">
        <f>""</f>
        <v/>
      </c>
    </row>
    <row r="3126" spans="1:9" x14ac:dyDescent="0.3">
      <c r="A3126" s="2">
        <v>3125</v>
      </c>
      <c r="B3126" s="4" t="s">
        <v>42</v>
      </c>
      <c r="C3126" s="3" t="str">
        <f>"TFC000004495"</f>
        <v>TFC000004495</v>
      </c>
      <c r="D3126" s="3" t="str">
        <f>"F800-22-0304-(AR4.1)"</f>
        <v>F800-22-0304-(AR4.1)</v>
      </c>
      <c r="E3126" s="3" t="str">
        <f>"I Am an American : The Wong Kim Ark Story"</f>
        <v>I Am an American : The Wong Kim Ark Story</v>
      </c>
      <c r="F3126" s="3" t="str">
        <f>"written by Martha Brockenbrough, Grace Lin, illustrated by Julia Kuo"</f>
        <v>written by Martha Brockenbrough, Grace Lin, illustrated by Julia Kuo</v>
      </c>
      <c r="G3126" s="3" t="str">
        <f>"Little, Brown and Company"</f>
        <v>Little, Brown and Company</v>
      </c>
      <c r="H3126" s="2" t="str">
        <f>"2021"</f>
        <v>2021</v>
      </c>
      <c r="I3126" s="3" t="str">
        <f>""</f>
        <v/>
      </c>
    </row>
    <row r="3127" spans="1:9" x14ac:dyDescent="0.3">
      <c r="A3127" s="2">
        <v>3126</v>
      </c>
      <c r="B3127" s="4" t="s">
        <v>42</v>
      </c>
      <c r="C3127" s="3" t="str">
        <f>"TFC000004496"</f>
        <v>TFC000004496</v>
      </c>
      <c r="D3127" s="3" t="str">
        <f>"F800-22-0305-(AR4.1)"</f>
        <v>F800-22-0305-(AR4.1)</v>
      </c>
      <c r="E3127" s="3" t="str">
        <f>"(The)Pug Who Wanted to Be a Unicorn"</f>
        <v>(The)Pug Who Wanted to Be a Unicorn</v>
      </c>
      <c r="F3127" s="3" t="str">
        <f>"by Bella Swift"</f>
        <v>by Bella Swift</v>
      </c>
      <c r="G3127" s="3" t="str">
        <f>"Aladdin"</f>
        <v>Aladdin</v>
      </c>
      <c r="H3127" s="2" t="str">
        <f>"2021"</f>
        <v>2021</v>
      </c>
      <c r="I3127" s="3" t="str">
        <f>""</f>
        <v/>
      </c>
    </row>
    <row r="3128" spans="1:9" x14ac:dyDescent="0.3">
      <c r="A3128" s="2">
        <v>3127</v>
      </c>
      <c r="B3128" s="4" t="s">
        <v>42</v>
      </c>
      <c r="C3128" s="3" t="str">
        <f>"TFC000004609"</f>
        <v>TFC000004609</v>
      </c>
      <c r="D3128" s="3" t="str">
        <f>"F800-22-0418-(AR4.1)"</f>
        <v>F800-22-0418-(AR4.1)</v>
      </c>
      <c r="E3128" s="3" t="str">
        <f>"Bluebird"</f>
        <v>Bluebird</v>
      </c>
      <c r="F3128" s="3" t="str">
        <f>"by Sharon Cameron"</f>
        <v>by Sharon Cameron</v>
      </c>
      <c r="G3128" s="3" t="str">
        <f>"Scholastic Press"</f>
        <v>Scholastic Press</v>
      </c>
      <c r="H3128" s="2" t="str">
        <f>"2021"</f>
        <v>2021</v>
      </c>
      <c r="I3128" s="3" t="str">
        <f>""</f>
        <v/>
      </c>
    </row>
    <row r="3129" spans="1:9" x14ac:dyDescent="0.3">
      <c r="A3129" s="2">
        <v>3128</v>
      </c>
      <c r="B3129" s="4" t="s">
        <v>42</v>
      </c>
      <c r="C3129" s="3" t="str">
        <f>"TFC000004610"</f>
        <v>TFC000004610</v>
      </c>
      <c r="D3129" s="3" t="str">
        <f>"F800-22-0419-(AR4.1)"</f>
        <v>F800-22-0419-(AR4.1)</v>
      </c>
      <c r="E3129" s="3" t="str">
        <f>"I Have No Secrets"</f>
        <v>I Have No Secrets</v>
      </c>
      <c r="F3129" s="3" t="str">
        <f>"by Penny Joelson"</f>
        <v>by Penny Joelson</v>
      </c>
      <c r="G3129" s="3" t="str">
        <f>"Electric Monkey"</f>
        <v>Electric Monkey</v>
      </c>
      <c r="H3129" s="2" t="str">
        <f>"2017"</f>
        <v>2017</v>
      </c>
      <c r="I3129" s="3" t="str">
        <f>""</f>
        <v/>
      </c>
    </row>
    <row r="3130" spans="1:9" x14ac:dyDescent="0.3">
      <c r="A3130" s="2">
        <v>3129</v>
      </c>
      <c r="B3130" s="4" t="s">
        <v>42</v>
      </c>
      <c r="C3130" s="3" t="str">
        <f>"TFC000003179"</f>
        <v>TFC000003179</v>
      </c>
      <c r="D3130" s="3" t="str">
        <f>"F800-20-2288-1(AR 4.1)"</f>
        <v>F800-20-2288-1(AR 4.1)</v>
      </c>
      <c r="E3130" s="3" t="str">
        <f>"(The)last kids on earth"</f>
        <v>(The)last kids on earth</v>
      </c>
      <c r="F3130" s="3" t="str">
        <f>"Max Brallier ; illustrated by Douglas Holgate"</f>
        <v>Max Brallier ; illustrated by Douglas Holgate</v>
      </c>
      <c r="G3130" s="3" t="str">
        <f>"Viking"</f>
        <v>Viking</v>
      </c>
      <c r="H3130" s="2" t="str">
        <f>"2015"</f>
        <v>2015</v>
      </c>
      <c r="I3130" s="3" t="str">
        <f>""</f>
        <v/>
      </c>
    </row>
    <row r="3131" spans="1:9" x14ac:dyDescent="0.3">
      <c r="A3131" s="2">
        <v>3130</v>
      </c>
      <c r="B3131" s="4" t="s">
        <v>43</v>
      </c>
      <c r="C3131" s="3" t="str">
        <f>"TFC000002089"</f>
        <v>TFC000002089</v>
      </c>
      <c r="D3131" s="3" t="str">
        <f>"F800-20-2319-(AR 4.2)"</f>
        <v>F800-20-2319-(AR 4.2)</v>
      </c>
      <c r="E3131" s="3" t="str">
        <f>"(The)magical book"</f>
        <v>(The)magical book</v>
      </c>
      <c r="F3131" s="3" t="str">
        <f>"adapted from E. Nesbit's ; the book of beasts by Lesley Sims ; illustrated by Victor Tavares"</f>
        <v>adapted from E. Nesbit's ; the book of beasts by Lesley Sims ; illustrated by Victor Tavares</v>
      </c>
      <c r="G3131" s="3" t="str">
        <f>"Usborne"</f>
        <v>Usborne</v>
      </c>
      <c r="H3131" s="2" t="str">
        <f>"2007"</f>
        <v>2007</v>
      </c>
      <c r="I3131" s="2" t="s">
        <v>2</v>
      </c>
    </row>
    <row r="3132" spans="1:9" x14ac:dyDescent="0.3">
      <c r="A3132" s="2">
        <v>3131</v>
      </c>
      <c r="B3132" s="4" t="s">
        <v>43</v>
      </c>
      <c r="C3132" s="3" t="str">
        <f>"TFC000002061"</f>
        <v>TFC000002061</v>
      </c>
      <c r="D3132" s="3" t="str">
        <f>"F300-20-2291-(AR 4.2)"</f>
        <v>F300-20-2291-(AR 4.2)</v>
      </c>
      <c r="E3132" s="3" t="str">
        <f>"Throw your tooth on the roof : tooth traditions from aroud the world"</f>
        <v>Throw your tooth on the roof : tooth traditions from aroud the world</v>
      </c>
      <c r="F3132" s="3" t="str">
        <f>"Selby B. Beeler ; illustrated by G. Brian Karas"</f>
        <v>Selby B. Beeler ; illustrated by G. Brian Karas</v>
      </c>
      <c r="G3132" s="3" t="str">
        <f>"Houghton Mifflin Company"</f>
        <v>Houghton Mifflin Company</v>
      </c>
      <c r="H3132" s="2" t="str">
        <f>"1998"</f>
        <v>1998</v>
      </c>
      <c r="I3132" s="3" t="str">
        <f>""</f>
        <v/>
      </c>
    </row>
    <row r="3133" spans="1:9" x14ac:dyDescent="0.3">
      <c r="A3133" s="2">
        <v>3132</v>
      </c>
      <c r="B3133" s="4" t="s">
        <v>43</v>
      </c>
      <c r="C3133" s="3" t="str">
        <f>"TFC000002062"</f>
        <v>TFC000002062</v>
      </c>
      <c r="D3133" s="3" t="str">
        <f>"F300-20-2292-(AR 4.2)"</f>
        <v>F300-20-2292-(AR 4.2)</v>
      </c>
      <c r="E3133" s="3" t="str">
        <f>"(A)story, a story : an African tale"</f>
        <v>(A)story, a story : an African tale</v>
      </c>
      <c r="F3133" s="3" t="str">
        <f>"retold and illustrated by Gail E. Haley"</f>
        <v>retold and illustrated by Gail E. Haley</v>
      </c>
      <c r="G3133" s="3" t="str">
        <f>"Aladdin"</f>
        <v>Aladdin</v>
      </c>
      <c r="H3133" s="2" t="str">
        <f>"1988"</f>
        <v>1988</v>
      </c>
      <c r="I3133" s="3" t="str">
        <f>""</f>
        <v/>
      </c>
    </row>
    <row r="3134" spans="1:9" x14ac:dyDescent="0.3">
      <c r="A3134" s="2">
        <v>3133</v>
      </c>
      <c r="B3134" s="4" t="s">
        <v>43</v>
      </c>
      <c r="C3134" s="3" t="str">
        <f>"TFC000002063"</f>
        <v>TFC000002063</v>
      </c>
      <c r="D3134" s="3" t="str">
        <f>"F400-20-2293-(AR 4.2)"</f>
        <v>F400-20-2293-(AR 4.2)</v>
      </c>
      <c r="E3134" s="3" t="str">
        <f>"Volcanoes! mountains of fire"</f>
        <v>Volcanoes! mountains of fire</v>
      </c>
      <c r="F3134" s="3" t="str">
        <f>"by Eric Arnold ; illustrated by Doug Knutson"</f>
        <v>by Eric Arnold ; illustrated by Doug Knutson</v>
      </c>
      <c r="G3134" s="3" t="str">
        <f>"Random House"</f>
        <v>Random House</v>
      </c>
      <c r="H3134" s="2" t="str">
        <f>"1997"</f>
        <v>1997</v>
      </c>
      <c r="I3134" s="3" t="str">
        <f>""</f>
        <v/>
      </c>
    </row>
    <row r="3135" spans="1:9" x14ac:dyDescent="0.3">
      <c r="A3135" s="2">
        <v>3134</v>
      </c>
      <c r="B3135" s="4" t="s">
        <v>43</v>
      </c>
      <c r="C3135" s="3" t="str">
        <f>"TFC000002064"</f>
        <v>TFC000002064</v>
      </c>
      <c r="D3135" s="3" t="str">
        <f>"F400-20-2294-(AR 4.2)"</f>
        <v>F400-20-2294-(AR 4.2)</v>
      </c>
      <c r="E3135" s="3" t="str">
        <f>"Dangerous animals"</f>
        <v>Dangerous animals</v>
      </c>
      <c r="F3135" s="3" t="str">
        <f>"by Melvin Berger ; Gilda Berger"</f>
        <v>by Melvin Berger ; Gilda Berger</v>
      </c>
      <c r="G3135" s="3" t="str">
        <f>"Scholastic"</f>
        <v>Scholastic</v>
      </c>
      <c r="H3135" s="2" t="str">
        <f>"2009"</f>
        <v>2009</v>
      </c>
      <c r="I3135" s="3" t="str">
        <f>""</f>
        <v/>
      </c>
    </row>
    <row r="3136" spans="1:9" x14ac:dyDescent="0.3">
      <c r="A3136" s="2">
        <v>3135</v>
      </c>
      <c r="B3136" s="4" t="s">
        <v>43</v>
      </c>
      <c r="C3136" s="3" t="str">
        <f>"TFC000002065"</f>
        <v>TFC000002065</v>
      </c>
      <c r="D3136" s="3" t="str">
        <f>"F800-20-2295-(AR 4.2)"</f>
        <v>F800-20-2295-(AR 4.2)</v>
      </c>
      <c r="E3136" s="3" t="str">
        <f>"(The)little house"</f>
        <v>(The)little house</v>
      </c>
      <c r="F3136" s="3" t="str">
        <f>"story and pictures by Virginia Lee Burton"</f>
        <v>story and pictures by Virginia Lee Burton</v>
      </c>
      <c r="G3136" s="3" t="str">
        <f>"Houghton Mifflin Company"</f>
        <v>Houghton Mifflin Company</v>
      </c>
      <c r="H3136" s="2" t="str">
        <f>"1969"</f>
        <v>1969</v>
      </c>
      <c r="I3136" s="3" t="str">
        <f>""</f>
        <v/>
      </c>
    </row>
    <row r="3137" spans="1:9" x14ac:dyDescent="0.3">
      <c r="A3137" s="2">
        <v>3136</v>
      </c>
      <c r="B3137" s="4" t="s">
        <v>43</v>
      </c>
      <c r="C3137" s="3" t="str">
        <f>"TFC000002066"</f>
        <v>TFC000002066</v>
      </c>
      <c r="D3137" s="3" t="str">
        <f>"F800-20-2296-(AR 4.2)"</f>
        <v>F800-20-2296-(AR 4.2)</v>
      </c>
      <c r="E3137" s="3" t="str">
        <f>"(The)legend of the bluebonnet : an old tale of Texas"</f>
        <v>(The)legend of the bluebonnet : an old tale of Texas</v>
      </c>
      <c r="F3137" s="3" t="str">
        <f>"retold and illustrated by Tomie DePaola"</f>
        <v>retold and illustrated by Tomie DePaola</v>
      </c>
      <c r="G3137" s="3" t="str">
        <f>"PaperStar Book"</f>
        <v>PaperStar Book</v>
      </c>
      <c r="H3137" s="2" t="str">
        <f>"1996"</f>
        <v>1996</v>
      </c>
      <c r="I3137" s="3" t="str">
        <f>""</f>
        <v/>
      </c>
    </row>
    <row r="3138" spans="1:9" x14ac:dyDescent="0.3">
      <c r="A3138" s="2">
        <v>3137</v>
      </c>
      <c r="B3138" s="4" t="s">
        <v>43</v>
      </c>
      <c r="C3138" s="3" t="str">
        <f>"TFC000002067"</f>
        <v>TFC000002067</v>
      </c>
      <c r="D3138" s="3" t="str">
        <f>"F800-20-2297-(AR 4.2)"</f>
        <v>F800-20-2297-(AR 4.2)</v>
      </c>
      <c r="E3138" s="3" t="str">
        <f>"Bunnicula : a rabbit-tale of mystery"</f>
        <v>Bunnicula : a rabbit-tale of mystery</v>
      </c>
      <c r="F3138" s="3" t="str">
        <f>"by Deborah Howe, James Howe ; illustrated by Alan Daniel"</f>
        <v>by Deborah Howe, James Howe ; illustrated by Alan Daniel</v>
      </c>
      <c r="G3138" s="3" t="str">
        <f>"Atheneum Books for Young Readers"</f>
        <v>Atheneum Books for Young Readers</v>
      </c>
      <c r="H3138" s="2" t="str">
        <f>"2019"</f>
        <v>2019</v>
      </c>
      <c r="I3138" s="3" t="str">
        <f>""</f>
        <v/>
      </c>
    </row>
    <row r="3139" spans="1:9" x14ac:dyDescent="0.3">
      <c r="A3139" s="2">
        <v>3138</v>
      </c>
      <c r="B3139" s="4" t="s">
        <v>43</v>
      </c>
      <c r="C3139" s="3" t="str">
        <f>"TFC000002068"</f>
        <v>TFC000002068</v>
      </c>
      <c r="D3139" s="3" t="str">
        <f>"F800-20-2298-(AR 4.2)"</f>
        <v>F800-20-2298-(AR 4.2)</v>
      </c>
      <c r="E3139" s="3" t="str">
        <f>"(The tale of)Peter Rabbit"</f>
        <v>(The tale of)Peter Rabbit</v>
      </c>
      <c r="F3139" s="3" t="str">
        <f>"Beatrix Potter"</f>
        <v>Beatrix Potter</v>
      </c>
      <c r="G3139" s="3" t="str">
        <f>"Frederick Warne"</f>
        <v>Frederick Warne</v>
      </c>
      <c r="H3139" s="2" t="str">
        <f>"1902"</f>
        <v>1902</v>
      </c>
      <c r="I3139" s="3" t="str">
        <f>""</f>
        <v/>
      </c>
    </row>
    <row r="3140" spans="1:9" x14ac:dyDescent="0.3">
      <c r="A3140" s="2">
        <v>3139</v>
      </c>
      <c r="B3140" s="4" t="s">
        <v>43</v>
      </c>
      <c r="C3140" s="3" t="str">
        <f>"TFC000002069"</f>
        <v>TFC000002069</v>
      </c>
      <c r="D3140" s="3" t="str">
        <f>"F800-20-2299-(AR 4.2)"</f>
        <v>F800-20-2299-(AR 4.2)</v>
      </c>
      <c r="E3140" s="3" t="str">
        <f>"(The tale of)Mrs. Tiggy-Winkle"</f>
        <v>(The tale of)Mrs. Tiggy-Winkle</v>
      </c>
      <c r="F3140" s="3" t="str">
        <f>"Beatrix Potter"</f>
        <v>Beatrix Potter</v>
      </c>
      <c r="G3140" s="3" t="str">
        <f>"Frederick Warne"</f>
        <v>Frederick Warne</v>
      </c>
      <c r="H3140" s="2" t="str">
        <f>"2002"</f>
        <v>2002</v>
      </c>
      <c r="I3140" s="3" t="str">
        <f>""</f>
        <v/>
      </c>
    </row>
    <row r="3141" spans="1:9" x14ac:dyDescent="0.3">
      <c r="A3141" s="2">
        <v>3140</v>
      </c>
      <c r="B3141" s="4" t="s">
        <v>43</v>
      </c>
      <c r="C3141" s="3" t="str">
        <f>"TFC000002070"</f>
        <v>TFC000002070</v>
      </c>
      <c r="D3141" s="3" t="str">
        <f>"F800-20-2300-(AR 4.2)"</f>
        <v>F800-20-2300-(AR 4.2)</v>
      </c>
      <c r="E3141" s="3" t="str">
        <f>"(The)tale of Peter rabbit"</f>
        <v>(The)tale of Peter rabbit</v>
      </c>
      <c r="F3141" s="3" t="str">
        <f>"by Beatrix Potter"</f>
        <v>by Beatrix Potter</v>
      </c>
      <c r="G3141" s="3" t="str">
        <f>"Grosset &amp; Dunlap"</f>
        <v>Grosset &amp; Dunlap</v>
      </c>
      <c r="H3141" s="2" t="str">
        <f>"2016"</f>
        <v>2016</v>
      </c>
      <c r="I3141" s="3" t="str">
        <f>""</f>
        <v/>
      </c>
    </row>
    <row r="3142" spans="1:9" x14ac:dyDescent="0.3">
      <c r="A3142" s="2">
        <v>3141</v>
      </c>
      <c r="B3142" s="4" t="s">
        <v>43</v>
      </c>
      <c r="C3142" s="3" t="str">
        <f>"TFC000002071"</f>
        <v>TFC000002071</v>
      </c>
      <c r="D3142" s="3" t="str">
        <f>"F800-20-2301-(AR 4.2)"</f>
        <v>F800-20-2301-(AR 4.2)</v>
      </c>
      <c r="E3142" s="3" t="str">
        <f>"Good enough to eat : a kid's guide to food and nutrition"</f>
        <v>Good enough to eat : a kid's guide to food and nutrition</v>
      </c>
      <c r="F3142" s="3" t="str">
        <f>"Lizzy Rockwell"</f>
        <v>Lizzy Rockwell</v>
      </c>
      <c r="G3142" s="3" t="str">
        <f>"HarperCollins Publishers"</f>
        <v>HarperCollins Publishers</v>
      </c>
      <c r="H3142" s="2" t="str">
        <f>"1999"</f>
        <v>1999</v>
      </c>
      <c r="I3142" s="3" t="str">
        <f>""</f>
        <v/>
      </c>
    </row>
    <row r="3143" spans="1:9" x14ac:dyDescent="0.3">
      <c r="A3143" s="2">
        <v>3142</v>
      </c>
      <c r="B3143" s="4" t="s">
        <v>43</v>
      </c>
      <c r="C3143" s="3" t="str">
        <f>"TFC000002072"</f>
        <v>TFC000002072</v>
      </c>
      <c r="D3143" s="3" t="str">
        <f>"F800-20-2302-(AR 4.2)"</f>
        <v>F800-20-2302-(AR 4.2)</v>
      </c>
      <c r="E3143" s="3" t="str">
        <f>"Chocolate fever"</f>
        <v>Chocolate fever</v>
      </c>
      <c r="F3143" s="3" t="str">
        <f>"Robert Kimmel Smith ; illustrated by Gioia Fiammenghi"</f>
        <v>Robert Kimmel Smith ; illustrated by Gioia Fiammenghi</v>
      </c>
      <c r="G3143" s="3" t="str">
        <f>"Puffin Books"</f>
        <v>Puffin Books</v>
      </c>
      <c r="H3143" s="2" t="str">
        <f>"2006"</f>
        <v>2006</v>
      </c>
      <c r="I3143" s="3" t="str">
        <f>""</f>
        <v/>
      </c>
    </row>
    <row r="3144" spans="1:9" x14ac:dyDescent="0.3">
      <c r="A3144" s="2">
        <v>3143</v>
      </c>
      <c r="B3144" s="4" t="s">
        <v>43</v>
      </c>
      <c r="C3144" s="3" t="str">
        <f>"TFC000002074"</f>
        <v>TFC000002074</v>
      </c>
      <c r="D3144" s="3" t="str">
        <f>"F800-20-2304-(AR 4.2)"</f>
        <v>F800-20-2304-(AR 4.2)</v>
      </c>
      <c r="E3144" s="3" t="str">
        <f>"White snow, bright snow"</f>
        <v>White snow, bright snow</v>
      </c>
      <c r="F3144" s="3" t="str">
        <f>"by Alvin Tresselt ; illustrated by Roger Duvoisin"</f>
        <v>by Alvin Tresselt ; illustrated by Roger Duvoisin</v>
      </c>
      <c r="G3144" s="3" t="str">
        <f>"Lothrop, Lee &amp; Shepard Books"</f>
        <v>Lothrop, Lee &amp; Shepard Books</v>
      </c>
      <c r="H3144" s="2" t="str">
        <f>"1989"</f>
        <v>1989</v>
      </c>
      <c r="I3144" s="3" t="str">
        <f>""</f>
        <v/>
      </c>
    </row>
    <row r="3145" spans="1:9" x14ac:dyDescent="0.3">
      <c r="A3145" s="2">
        <v>3144</v>
      </c>
      <c r="B3145" s="4" t="s">
        <v>43</v>
      </c>
      <c r="C3145" s="3" t="str">
        <f>"TFC000002075"</f>
        <v>TFC000002075</v>
      </c>
      <c r="D3145" s="3" t="str">
        <f>"F800-20-2305-(AR 4.2)"</f>
        <v>F800-20-2305-(AR 4.2)</v>
      </c>
      <c r="E3145" s="3" t="str">
        <f>"(The)animal shelter mystery"</f>
        <v>(The)animal shelter mystery</v>
      </c>
      <c r="F3145" s="3" t="str">
        <f>"Gertrude Chandler Warner ; illustrated by Charles Tang"</f>
        <v>Gertrude Chandler Warner ; illustrated by Charles Tang</v>
      </c>
      <c r="G3145" s="3" t="str">
        <f>"Albert Whitman"</f>
        <v>Albert Whitman</v>
      </c>
      <c r="H3145" s="2" t="str">
        <f>"1991"</f>
        <v>1991</v>
      </c>
      <c r="I3145" s="3" t="str">
        <f>""</f>
        <v/>
      </c>
    </row>
    <row r="3146" spans="1:9" x14ac:dyDescent="0.3">
      <c r="A3146" s="2">
        <v>3145</v>
      </c>
      <c r="B3146" s="4" t="s">
        <v>43</v>
      </c>
      <c r="C3146" s="3" t="str">
        <f>"TFC000002076"</f>
        <v>TFC000002076</v>
      </c>
      <c r="D3146" s="3" t="str">
        <f>"F800-20-2306-(AR 4.2)"</f>
        <v>F800-20-2306-(AR 4.2)</v>
      </c>
      <c r="E3146" s="3" t="str">
        <f>"Commotion in the ocean"</f>
        <v>Commotion in the ocean</v>
      </c>
      <c r="F3146" s="3" t="str">
        <f>"by Giles Andreae ; illustrated by David Wojtowycz"</f>
        <v>by Giles Andreae ; illustrated by David Wojtowycz</v>
      </c>
      <c r="G3146" s="3" t="str">
        <f>"Tiger Tales"</f>
        <v>Tiger Tales</v>
      </c>
      <c r="H3146" s="2" t="str">
        <f>"2001"</f>
        <v>2001</v>
      </c>
      <c r="I3146" s="3" t="str">
        <f>""</f>
        <v/>
      </c>
    </row>
    <row r="3147" spans="1:9" x14ac:dyDescent="0.3">
      <c r="A3147" s="2">
        <v>3146</v>
      </c>
      <c r="B3147" s="4" t="s">
        <v>43</v>
      </c>
      <c r="C3147" s="3" t="str">
        <f>"TFC000002077"</f>
        <v>TFC000002077</v>
      </c>
      <c r="D3147" s="3" t="str">
        <f>"F800-20-2307-(AR 4.2)"</f>
        <v>F800-20-2307-(AR 4.2)</v>
      </c>
      <c r="E3147" s="3" t="str">
        <f>"Wishtree"</f>
        <v>Wishtree</v>
      </c>
      <c r="F3147" s="3" t="str">
        <f>"Katherine Applegate ; illustrated by Charles Santoso"</f>
        <v>Katherine Applegate ; illustrated by Charles Santoso</v>
      </c>
      <c r="G3147" s="3" t="str">
        <f>"Feiwel and Friends"</f>
        <v>Feiwel and Friends</v>
      </c>
      <c r="H3147" s="2" t="str">
        <f>"2017"</f>
        <v>2017</v>
      </c>
      <c r="I3147" s="3" t="str">
        <f>""</f>
        <v/>
      </c>
    </row>
    <row r="3148" spans="1:9" x14ac:dyDescent="0.3">
      <c r="A3148" s="2">
        <v>3147</v>
      </c>
      <c r="B3148" s="4" t="s">
        <v>43</v>
      </c>
      <c r="C3148" s="3" t="str">
        <f>"TFC000002078"</f>
        <v>TFC000002078</v>
      </c>
      <c r="D3148" s="3" t="str">
        <f>"F800-20-2308-(AR 4.2)"</f>
        <v>F800-20-2308-(AR 4.2)</v>
      </c>
      <c r="E3148" s="3" t="str">
        <f>"Flat Stanley's worldwide adventures. 3, the Japanese ninja surprise"</f>
        <v>Flat Stanley's worldwide adventures. 3, the Japanese ninja surprise</v>
      </c>
      <c r="F3148" s="3" t="str">
        <f>"created by Jeff Brown ; written by Sara Pennypacker ; pictures by Macky Pamintuan"</f>
        <v>created by Jeff Brown ; written by Sara Pennypacker ; pictures by Macky Pamintuan</v>
      </c>
      <c r="G3148" s="3" t="str">
        <f>"Harper"</f>
        <v>Harper</v>
      </c>
      <c r="H3148" s="2" t="str">
        <f>"2009"</f>
        <v>2009</v>
      </c>
      <c r="I3148" s="3" t="str">
        <f>""</f>
        <v/>
      </c>
    </row>
    <row r="3149" spans="1:9" x14ac:dyDescent="0.3">
      <c r="A3149" s="2">
        <v>3148</v>
      </c>
      <c r="B3149" s="4" t="s">
        <v>43</v>
      </c>
      <c r="C3149" s="3" t="str">
        <f>"TFC000002079"</f>
        <v>TFC000002079</v>
      </c>
      <c r="D3149" s="3" t="str">
        <f>"F800-20-2309-(AR 4.2)"</f>
        <v>F800-20-2309-(AR 4.2)</v>
      </c>
      <c r="E3149" s="3" t="str">
        <f>"(The)Million dollar shot"</f>
        <v>(The)Million dollar shot</v>
      </c>
      <c r="F3149" s="3" t="str">
        <f>"Dan Gutman"</f>
        <v>Dan Gutman</v>
      </c>
      <c r="G3149" s="3" t="str">
        <f>"Disney·Hyperion"</f>
        <v>Disney·Hyperion</v>
      </c>
      <c r="H3149" s="2" t="str">
        <f>"2006"</f>
        <v>2006</v>
      </c>
      <c r="I3149" s="3" t="str">
        <f>""</f>
        <v/>
      </c>
    </row>
    <row r="3150" spans="1:9" x14ac:dyDescent="0.3">
      <c r="A3150" s="2">
        <v>3149</v>
      </c>
      <c r="B3150" s="4" t="s">
        <v>43</v>
      </c>
      <c r="C3150" s="3" t="str">
        <f>"TFC000002081"</f>
        <v>TFC000002081</v>
      </c>
      <c r="D3150" s="3" t="str">
        <f>"F800-20-2311-(AR 4.2)"</f>
        <v>F800-20-2311-(AR 4.2)</v>
      </c>
      <c r="E3150" s="3" t="str">
        <f>"(The)year of Billy Miller"</f>
        <v>(The)year of Billy Miller</v>
      </c>
      <c r="F3150" s="3" t="str">
        <f>"Kevin Henkes"</f>
        <v>Kevin Henkes</v>
      </c>
      <c r="G3150" s="3" t="str">
        <f>"Greenwillow Books"</f>
        <v>Greenwillow Books</v>
      </c>
      <c r="H3150" s="2" t="str">
        <f>"2013"</f>
        <v>2013</v>
      </c>
      <c r="I3150" s="3" t="str">
        <f>""</f>
        <v/>
      </c>
    </row>
    <row r="3151" spans="1:9" x14ac:dyDescent="0.3">
      <c r="A3151" s="2">
        <v>3150</v>
      </c>
      <c r="B3151" s="4" t="s">
        <v>43</v>
      </c>
      <c r="C3151" s="3" t="str">
        <f>"TFC000002082"</f>
        <v>TFC000002082</v>
      </c>
      <c r="D3151" s="3" t="str">
        <f>"F800-20-2312-(AR 4.2)"</f>
        <v>F800-20-2312-(AR 4.2)</v>
      </c>
      <c r="E3151" s="3" t="str">
        <f>"(The)year of the perfect Christmas tree : an Appalachian story"</f>
        <v>(The)year of the perfect Christmas tree : an Appalachian story</v>
      </c>
      <c r="F3151" s="3" t="str">
        <f>"by Gloria Houston ; pictures by Barbara Cooney"</f>
        <v>by Gloria Houston ; pictures by Barbara Cooney</v>
      </c>
      <c r="G3151" s="3" t="str">
        <f>"Puffin Books"</f>
        <v>Puffin Books</v>
      </c>
      <c r="H3151" s="2" t="str">
        <f>"1996"</f>
        <v>1996</v>
      </c>
      <c r="I3151" s="3" t="str">
        <f>""</f>
        <v/>
      </c>
    </row>
    <row r="3152" spans="1:9" x14ac:dyDescent="0.3">
      <c r="A3152" s="2">
        <v>3151</v>
      </c>
      <c r="B3152" s="4" t="s">
        <v>43</v>
      </c>
      <c r="C3152" s="3" t="str">
        <f>"TFC000002083"</f>
        <v>TFC000002083</v>
      </c>
      <c r="D3152" s="3" t="str">
        <f>"F800-20-2313-(AR 4.2)"</f>
        <v>F800-20-2313-(AR 4.2)</v>
      </c>
      <c r="E3152" s="3" t="str">
        <f>"To the top! : climbing the world's highest mountain"</f>
        <v>To the top! : climbing the world's highest mountain</v>
      </c>
      <c r="F3152" s="3" t="str">
        <f>"by S.A. Kramer ; illustrated by Thomas La Padula"</f>
        <v>by S.A. Kramer ; illustrated by Thomas La Padula</v>
      </c>
      <c r="G3152" s="3" t="str">
        <f>"Random House"</f>
        <v>Random House</v>
      </c>
      <c r="H3152" s="2" t="str">
        <f>"2003"</f>
        <v>2003</v>
      </c>
      <c r="I3152" s="3" t="str">
        <f>""</f>
        <v/>
      </c>
    </row>
    <row r="3153" spans="1:9" x14ac:dyDescent="0.3">
      <c r="A3153" s="2">
        <v>3152</v>
      </c>
      <c r="B3153" s="4" t="s">
        <v>43</v>
      </c>
      <c r="C3153" s="3" t="str">
        <f>"TFC000002084"</f>
        <v>TFC000002084</v>
      </c>
      <c r="D3153" s="3" t="str">
        <f>"F800-20-2314-(AR 4.2)"</f>
        <v>F800-20-2314-(AR 4.2)</v>
      </c>
      <c r="E3153" s="3" t="str">
        <f>"Over the moon"</f>
        <v>Over the moon</v>
      </c>
      <c r="F3153" s="3" t="str">
        <f>"Natalie Lloyd"</f>
        <v>Natalie Lloyd</v>
      </c>
      <c r="G3153" s="3" t="str">
        <f>"Scholastic Press"</f>
        <v>Scholastic Press</v>
      </c>
      <c r="H3153" s="2" t="str">
        <f>"2019"</f>
        <v>2019</v>
      </c>
      <c r="I3153" s="3" t="str">
        <f>""</f>
        <v/>
      </c>
    </row>
    <row r="3154" spans="1:9" x14ac:dyDescent="0.3">
      <c r="A3154" s="2">
        <v>3153</v>
      </c>
      <c r="B3154" s="4" t="s">
        <v>43</v>
      </c>
      <c r="C3154" s="3" t="str">
        <f>"TFC000002085"</f>
        <v>TFC000002085</v>
      </c>
      <c r="D3154" s="3" t="str">
        <f>"F800-20-2315-(AR 4.2)"</f>
        <v>F800-20-2315-(AR 4.2)</v>
      </c>
      <c r="E3154" s="3" t="str">
        <f>"Otis and the puppy"</f>
        <v>Otis and the puppy</v>
      </c>
      <c r="F3154" s="3" t="str">
        <f>"by Loren Long"</f>
        <v>by Loren Long</v>
      </c>
      <c r="G3154" s="3" t="str">
        <f>"Philomel Books"</f>
        <v>Philomel Books</v>
      </c>
      <c r="H3154" s="2" t="str">
        <f>"2013"</f>
        <v>2013</v>
      </c>
      <c r="I3154" s="3" t="str">
        <f>""</f>
        <v/>
      </c>
    </row>
    <row r="3155" spans="1:9" x14ac:dyDescent="0.3">
      <c r="A3155" s="2">
        <v>3154</v>
      </c>
      <c r="B3155" s="4" t="s">
        <v>43</v>
      </c>
      <c r="C3155" s="3" t="str">
        <f>"TFC000002086"</f>
        <v>TFC000002086</v>
      </c>
      <c r="D3155" s="3" t="str">
        <f>"F800-20-2316-(AR 4.2)"</f>
        <v>F800-20-2316-(AR 4.2)</v>
      </c>
      <c r="E3155" s="3" t="str">
        <f>"(The)big shrink"</f>
        <v>(The)big shrink</v>
      </c>
      <c r="F3155" s="3" t="str">
        <f>"by Sarah Mlynowski, Lauren Myracle, Emily Jenkins"</f>
        <v>by Sarah Mlynowski, Lauren Myracle, Emily Jenkins</v>
      </c>
      <c r="G3155" s="3" t="str">
        <f>"Scholastic Press"</f>
        <v>Scholastic Press</v>
      </c>
      <c r="H3155" s="2" t="str">
        <f>"2019"</f>
        <v>2019</v>
      </c>
      <c r="I3155" s="3" t="str">
        <f>""</f>
        <v/>
      </c>
    </row>
    <row r="3156" spans="1:9" x14ac:dyDescent="0.3">
      <c r="A3156" s="2">
        <v>3155</v>
      </c>
      <c r="B3156" s="4" t="s">
        <v>43</v>
      </c>
      <c r="C3156" s="3" t="str">
        <f>"TFC000002087"</f>
        <v>TFC000002087</v>
      </c>
      <c r="D3156" s="3" t="str">
        <f>"F800-20-2317-(AR 4.2)"</f>
        <v>F800-20-2317-(AR 4.2)</v>
      </c>
      <c r="E3156" s="3" t="str">
        <f>"Tikki Tikki Tembo"</f>
        <v>Tikki Tikki Tembo</v>
      </c>
      <c r="F3156" s="3" t="str">
        <f>"retold by Arlene Mosel ; illustrated by Blair Lent"</f>
        <v>retold by Arlene Mosel ; illustrated by Blair Lent</v>
      </c>
      <c r="G3156" s="3" t="str">
        <f>"Square Fish"</f>
        <v>Square Fish</v>
      </c>
      <c r="H3156" s="2" t="str">
        <f>"2007"</f>
        <v>2007</v>
      </c>
      <c r="I3156" s="3" t="str">
        <f>""</f>
        <v/>
      </c>
    </row>
    <row r="3157" spans="1:9" x14ac:dyDescent="0.3">
      <c r="A3157" s="2">
        <v>3156</v>
      </c>
      <c r="B3157" s="4" t="s">
        <v>43</v>
      </c>
      <c r="C3157" s="3" t="str">
        <f>"TFC000002088"</f>
        <v>TFC000002088</v>
      </c>
      <c r="D3157" s="3" t="str">
        <f>"F800-20-2318-(AR 4.2)"</f>
        <v>F800-20-2318-(AR 4.2)</v>
      </c>
      <c r="E3157" s="3" t="str">
        <f>"Amelia's 5th-grade notebook"</f>
        <v>Amelia's 5th-grade notebook</v>
      </c>
      <c r="F3157" s="3" t="str">
        <f>"by Marissa Moss"</f>
        <v>by Marissa Moss</v>
      </c>
      <c r="G3157" s="3" t="str">
        <f>"Simon &amp; Schuster Books for Young Readers"</f>
        <v>Simon &amp; Schuster Books for Young Readers</v>
      </c>
      <c r="H3157" s="2" t="str">
        <f>"2006"</f>
        <v>2006</v>
      </c>
      <c r="I3157" s="3" t="str">
        <f>""</f>
        <v/>
      </c>
    </row>
    <row r="3158" spans="1:9" x14ac:dyDescent="0.3">
      <c r="A3158" s="2">
        <v>3157</v>
      </c>
      <c r="B3158" s="4" t="s">
        <v>43</v>
      </c>
      <c r="C3158" s="3" t="str">
        <f>"TFC000002090"</f>
        <v>TFC000002090</v>
      </c>
      <c r="D3158" s="3" t="str">
        <f>"F800-20-2320-(AR 4.2)"</f>
        <v>F800-20-2320-(AR 4.2)</v>
      </c>
      <c r="E3158" s="3" t="str">
        <f>"(The)blessing cup"</f>
        <v>(The)blessing cup</v>
      </c>
      <c r="F3158" s="3" t="str">
        <f>"Patricia Polacco"</f>
        <v>Patricia Polacco</v>
      </c>
      <c r="G3158" s="3" t="str">
        <f>"Simon &amp; Schuster Books for Young Readers"</f>
        <v>Simon &amp; Schuster Books for Young Readers</v>
      </c>
      <c r="H3158" s="2" t="str">
        <f>"2013"</f>
        <v>2013</v>
      </c>
      <c r="I3158" s="3" t="str">
        <f>""</f>
        <v/>
      </c>
    </row>
    <row r="3159" spans="1:9" x14ac:dyDescent="0.3">
      <c r="A3159" s="2">
        <v>3158</v>
      </c>
      <c r="B3159" s="4" t="s">
        <v>43</v>
      </c>
      <c r="C3159" s="3" t="str">
        <f>"TFC000002091"</f>
        <v>TFC000002091</v>
      </c>
      <c r="D3159" s="3" t="str">
        <f>"F800-20-2321-(AR 4.2)"</f>
        <v>F800-20-2321-(AR 4.2)</v>
      </c>
      <c r="E3159" s="3" t="str">
        <f>"Dork diaries. 6, tales from a not-so-happy heartbreaker"</f>
        <v>Dork diaries. 6, tales from a not-so-happy heartbreaker</v>
      </c>
      <c r="F3159" s="3" t="str">
        <f>"Rachel Renee Russell, Nikki Russell, Erin Russell"</f>
        <v>Rachel Renee Russell, Nikki Russell, Erin Russell</v>
      </c>
      <c r="G3159" s="3" t="str">
        <f>"Aladdin"</f>
        <v>Aladdin</v>
      </c>
      <c r="H3159" s="2" t="str">
        <f>"2013"</f>
        <v>2013</v>
      </c>
      <c r="I3159" s="3" t="str">
        <f>""</f>
        <v/>
      </c>
    </row>
    <row r="3160" spans="1:9" x14ac:dyDescent="0.3">
      <c r="A3160" s="2">
        <v>3159</v>
      </c>
      <c r="B3160" s="4" t="s">
        <v>43</v>
      </c>
      <c r="C3160" s="3" t="str">
        <f>"TFC000002092"</f>
        <v>TFC000002092</v>
      </c>
      <c r="D3160" s="3" t="str">
        <f>"F800-20-2322-(AR 4.2)"</f>
        <v>F800-20-2322-(AR 4.2)</v>
      </c>
      <c r="E3160" s="3" t="str">
        <f>"Small steps"</f>
        <v>Small steps</v>
      </c>
      <c r="F3160" s="3" t="str">
        <f>"Louis Sachar"</f>
        <v>Louis Sachar</v>
      </c>
      <c r="G3160" s="3" t="str">
        <f>"Ember"</f>
        <v>Ember</v>
      </c>
      <c r="H3160" s="2" t="str">
        <f>"2011"</f>
        <v>2011</v>
      </c>
      <c r="I3160" s="3" t="str">
        <f>""</f>
        <v/>
      </c>
    </row>
    <row r="3161" spans="1:9" x14ac:dyDescent="0.3">
      <c r="A3161" s="2">
        <v>3160</v>
      </c>
      <c r="B3161" s="4" t="s">
        <v>43</v>
      </c>
      <c r="C3161" s="3" t="str">
        <f>"TFC000002095"</f>
        <v>TFC000002095</v>
      </c>
      <c r="D3161" s="3" t="str">
        <f>"F800-20-2325-(AR 4.2)"</f>
        <v>F800-20-2325-(AR 4.2)</v>
      </c>
      <c r="E3161" s="3" t="str">
        <f>"Around the world in eighty days"</f>
        <v>Around the world in eighty days</v>
      </c>
      <c r="F3161" s="3" t="str">
        <f>"Jules Verne ; adapted by Jane Bingham ; illustrated by Adam Stower"</f>
        <v>Jules Verne ; adapted by Jane Bingham ; illustrated by Adam Stower</v>
      </c>
      <c r="G3161" s="3" t="str">
        <f>"Usborne"</f>
        <v>Usborne</v>
      </c>
      <c r="H3161" s="2" t="str">
        <f>"2004"</f>
        <v>2004</v>
      </c>
      <c r="I3161" s="3" t="str">
        <f>""</f>
        <v/>
      </c>
    </row>
    <row r="3162" spans="1:9" x14ac:dyDescent="0.3">
      <c r="A3162" s="2">
        <v>3161</v>
      </c>
      <c r="B3162" s="4" t="s">
        <v>43</v>
      </c>
      <c r="C3162" s="3" t="str">
        <f>"TFC000002096"</f>
        <v>TFC000002096</v>
      </c>
      <c r="D3162" s="3" t="str">
        <f>"F800-20-2326-(AR 4.2)"</f>
        <v>F800-20-2326-(AR 4.2)</v>
      </c>
      <c r="E3162" s="3" t="str">
        <f>"(A)dog called Kitty"</f>
        <v>(A)dog called Kitty</v>
      </c>
      <c r="F3162" s="3" t="str">
        <f>"by Bill Wallace"</f>
        <v>by Bill Wallace</v>
      </c>
      <c r="G3162" s="3" t="str">
        <f>"Aladdin Paperbacks"</f>
        <v>Aladdin Paperbacks</v>
      </c>
      <c r="H3162" s="2" t="str">
        <f>"2002"</f>
        <v>2002</v>
      </c>
      <c r="I3162" s="3" t="str">
        <f>""</f>
        <v/>
      </c>
    </row>
    <row r="3163" spans="1:9" x14ac:dyDescent="0.3">
      <c r="A3163" s="2">
        <v>3162</v>
      </c>
      <c r="B3163" s="4" t="s">
        <v>43</v>
      </c>
      <c r="C3163" s="3" t="str">
        <f>"TFC000002097"</f>
        <v>TFC000002097</v>
      </c>
      <c r="D3163" s="3" t="str">
        <f>"F800-20-2327-(AR 4.2)"</f>
        <v>F800-20-2327-(AR 4.2)</v>
      </c>
      <c r="E3163" s="3" t="str">
        <f>"(The)cloud castle"</f>
        <v>(The)cloud castle</v>
      </c>
      <c r="F3163" s="3" t="str">
        <f>"Thea Stilton ; illustrations by Danilo Barozzi...[et al.] ; translated by Emily Clement"</f>
        <v>Thea Stilton ; illustrations by Danilo Barozzi...[et al.] ; translated by Emily Clement</v>
      </c>
      <c r="G3163" s="3" t="str">
        <f>"Scholastic"</f>
        <v>Scholastic</v>
      </c>
      <c r="H3163" s="2" t="str">
        <f>"2014"</f>
        <v>2014</v>
      </c>
      <c r="I3163" s="3" t="str">
        <f>""</f>
        <v/>
      </c>
    </row>
    <row r="3164" spans="1:9" x14ac:dyDescent="0.3">
      <c r="A3164" s="2">
        <v>3163</v>
      </c>
      <c r="B3164" s="4" t="s">
        <v>43</v>
      </c>
      <c r="C3164" s="3" t="str">
        <f>"TFC000002098"</f>
        <v>TFC000002098</v>
      </c>
      <c r="D3164" s="3" t="str">
        <f>"F800-20-2328-(AR 4.2)"</f>
        <v>F800-20-2328-(AR 4.2)</v>
      </c>
      <c r="E3164" s="3" t="str">
        <f>"(The)enormouse pearl heist"</f>
        <v>(The)enormouse pearl heist</v>
      </c>
      <c r="F3164" s="3" t="str">
        <f>"Geronimo Stilton ; illustrations by Giuseppe Ferrario ; translated by Lidia Morson Tramontozzi"</f>
        <v>Geronimo Stilton ; illustrations by Giuseppe Ferrario ; translated by Lidia Morson Tramontozzi</v>
      </c>
      <c r="G3164" s="3" t="str">
        <f>"Scholastic"</f>
        <v>Scholastic</v>
      </c>
      <c r="H3164" s="2" t="str">
        <f>"2016"</f>
        <v>2016</v>
      </c>
      <c r="I3164" s="3" t="str">
        <f>""</f>
        <v/>
      </c>
    </row>
    <row r="3165" spans="1:9" x14ac:dyDescent="0.3">
      <c r="A3165" s="2">
        <v>3164</v>
      </c>
      <c r="B3165" s="4" t="s">
        <v>43</v>
      </c>
      <c r="C3165" s="3" t="str">
        <f>"TFC000002099"</f>
        <v>TFC000002099</v>
      </c>
      <c r="D3165" s="3" t="str">
        <f>"F800-20-2329-(AR 4.2)"</f>
        <v>F800-20-2329-(AR 4.2)</v>
      </c>
      <c r="E3165" s="3" t="str">
        <f>"(A)fabumouse school adventure"</f>
        <v>(A)fabumouse school adventure</v>
      </c>
      <c r="F3165" s="3" t="str">
        <f>"Geronimo Stilton ; illustrations by Alessandro Pastrovicchio"</f>
        <v>Geronimo Stilton ; illustrations by Alessandro Pastrovicchio</v>
      </c>
      <c r="G3165" s="3" t="str">
        <f>"Scholastic"</f>
        <v>Scholastic</v>
      </c>
      <c r="H3165" s="2" t="str">
        <f>"2009"</f>
        <v>2009</v>
      </c>
      <c r="I3165" s="3" t="str">
        <f>""</f>
        <v/>
      </c>
    </row>
    <row r="3166" spans="1:9" x14ac:dyDescent="0.3">
      <c r="A3166" s="2">
        <v>3165</v>
      </c>
      <c r="B3166" s="4" t="s">
        <v>43</v>
      </c>
      <c r="C3166" s="3" t="str">
        <f>"TFC000002100"</f>
        <v>TFC000002100</v>
      </c>
      <c r="D3166" s="3" t="str">
        <f>"F800-20-2330-(AR 4.2)"</f>
        <v>F800-20-2330-(AR 4.2)</v>
      </c>
      <c r="E3166" s="3" t="str">
        <f>"Save the white whale!"</f>
        <v>Save the white whale!</v>
      </c>
      <c r="F3166" s="3" t="str">
        <f>"by Geronimo Stilton ; illustrations by Elena Tomasutti, Christian Aliprandi"</f>
        <v>by Geronimo Stilton ; illustrations by Elena Tomasutti, Christian Aliprandi</v>
      </c>
      <c r="G3166" s="3" t="str">
        <f>"Scholastic"</f>
        <v>Scholastic</v>
      </c>
      <c r="H3166" s="2" t="str">
        <f>"2011"</f>
        <v>2011</v>
      </c>
      <c r="I3166" s="3" t="str">
        <f>""</f>
        <v/>
      </c>
    </row>
    <row r="3167" spans="1:9" x14ac:dyDescent="0.3">
      <c r="A3167" s="2">
        <v>3166</v>
      </c>
      <c r="B3167" s="4" t="s">
        <v>43</v>
      </c>
      <c r="C3167" s="3" t="str">
        <f>"TFC000002101"</f>
        <v>TFC000002101</v>
      </c>
      <c r="D3167" s="3" t="str">
        <f>"F800-20-2331-(AR 4.2)"</f>
        <v>F800-20-2331-(AR 4.2)</v>
      </c>
      <c r="E3167" s="3" t="str">
        <f>"(The)secret of the fairies"</f>
        <v>(The)secret of the fairies</v>
      </c>
      <c r="F3167" s="3" t="str">
        <f>"text by Thea Stilton ; illustrations by Giuseppe Facciotto, Barbara Pellizzari ; translated by Emily Clement"</f>
        <v>text by Thea Stilton ; illustrations by Giuseppe Facciotto, Barbara Pellizzari ; translated by Emily Clement</v>
      </c>
      <c r="G3167" s="3" t="str">
        <f>"Scholastic"</f>
        <v>Scholastic</v>
      </c>
      <c r="H3167" s="2" t="str">
        <f>"2013"</f>
        <v>2013</v>
      </c>
      <c r="I3167" s="3" t="str">
        <f>""</f>
        <v/>
      </c>
    </row>
    <row r="3168" spans="1:9" x14ac:dyDescent="0.3">
      <c r="A3168" s="2">
        <v>3167</v>
      </c>
      <c r="B3168" s="4" t="s">
        <v>43</v>
      </c>
      <c r="C3168" s="3" t="str">
        <f>"TFC000002102"</f>
        <v>TFC000002102</v>
      </c>
      <c r="D3168" s="3" t="str">
        <f>"F900-20-2335-(AR 4.2)"</f>
        <v>F900-20-2335-(AR 4.2)</v>
      </c>
      <c r="E3168" s="3" t="str">
        <f>"I am Neil Armstrong"</f>
        <v>I am Neil Armstrong</v>
      </c>
      <c r="F3168" s="3" t="str">
        <f>"Brad Meltzer ; illustrated by Christopher Eliopoulos"</f>
        <v>Brad Meltzer ; illustrated by Christopher Eliopoulos</v>
      </c>
      <c r="G3168" s="3" t="str">
        <f>"Dial Books for Young Readers"</f>
        <v>Dial Books for Young Readers</v>
      </c>
      <c r="H3168" s="2" t="str">
        <f>"2018"</f>
        <v>2018</v>
      </c>
      <c r="I3168" s="3" t="str">
        <f>""</f>
        <v/>
      </c>
    </row>
    <row r="3169" spans="1:9" x14ac:dyDescent="0.3">
      <c r="A3169" s="2">
        <v>3168</v>
      </c>
      <c r="B3169" s="4" t="s">
        <v>43</v>
      </c>
      <c r="C3169" s="3" t="str">
        <f>"TFC000002103"</f>
        <v>TFC000002103</v>
      </c>
      <c r="D3169" s="3" t="str">
        <f>"F900-20-2336-(AR 4.2)"</f>
        <v>F900-20-2336-(AR 4.2)</v>
      </c>
      <c r="E3169" s="3" t="str">
        <f>"Happy birthday, Martin Luther King"</f>
        <v>Happy birthday, Martin Luther King</v>
      </c>
      <c r="F3169" s="3" t="str">
        <f>"by Jean Marzollo ; illustrated by J. Brian Pinkney"</f>
        <v>by Jean Marzollo ; illustrated by J. Brian Pinkney</v>
      </c>
      <c r="G3169" s="3" t="str">
        <f>"Scholastic"</f>
        <v>Scholastic</v>
      </c>
      <c r="H3169" s="2" t="str">
        <f>"2006"</f>
        <v>2006</v>
      </c>
      <c r="I3169" s="3" t="str">
        <f>""</f>
        <v/>
      </c>
    </row>
    <row r="3170" spans="1:9" x14ac:dyDescent="0.3">
      <c r="A3170" s="2">
        <v>3169</v>
      </c>
      <c r="B3170" s="4" t="s">
        <v>43</v>
      </c>
      <c r="C3170" s="3" t="str">
        <f>"TFC000002104"</f>
        <v>TFC000002104</v>
      </c>
      <c r="D3170" s="3" t="str">
        <f>"F900-20-2337-(AR 4.2)"</f>
        <v>F900-20-2337-(AR 4.2)</v>
      </c>
      <c r="E3170" s="3" t="str">
        <f>"Trombone shorty"</f>
        <v>Trombone shorty</v>
      </c>
      <c r="F3170" s="3" t="str">
        <f>"by Troy Andrews ; Bill Taylor ; illustrated by Bryan Collier"</f>
        <v>by Troy Andrews ; Bill Taylor ; illustrated by Bryan Collier</v>
      </c>
      <c r="G3170" s="3" t="str">
        <f>"Abrams Books for Young Readers"</f>
        <v>Abrams Books for Young Readers</v>
      </c>
      <c r="H3170" s="2" t="str">
        <f>"2015"</f>
        <v>2015</v>
      </c>
      <c r="I3170" s="3" t="str">
        <f>""</f>
        <v/>
      </c>
    </row>
    <row r="3171" spans="1:9" x14ac:dyDescent="0.3">
      <c r="A3171" s="2">
        <v>3170</v>
      </c>
      <c r="B3171" s="4" t="s">
        <v>43</v>
      </c>
      <c r="C3171" s="3" t="str">
        <f>"TFC000002105"</f>
        <v>TFC000002105</v>
      </c>
      <c r="D3171" s="3" t="str">
        <f>"F900-20-2338-(AR 4.2)"</f>
        <v>F900-20-2338-(AR 4.2)</v>
      </c>
      <c r="E3171" s="3" t="str">
        <f>"Who was Elvis Presley?"</f>
        <v>Who was Elvis Presley?</v>
      </c>
      <c r="F3171" s="3" t="str">
        <f>"by Geoff Edgers ; illustrated by John O'Brein"</f>
        <v>by Geoff Edgers ; illustrated by John O'Brein</v>
      </c>
      <c r="G3171" s="3" t="str">
        <f>"Grosset &amp; Dunlap"</f>
        <v>Grosset &amp; Dunlap</v>
      </c>
      <c r="H3171" s="2" t="str">
        <f>"2007"</f>
        <v>2007</v>
      </c>
      <c r="I3171" s="3" t="str">
        <f>""</f>
        <v/>
      </c>
    </row>
    <row r="3172" spans="1:9" x14ac:dyDescent="0.3">
      <c r="A3172" s="2">
        <v>3171</v>
      </c>
      <c r="B3172" s="4" t="s">
        <v>43</v>
      </c>
      <c r="C3172" s="3" t="str">
        <f>"TFC000002106"</f>
        <v>TFC000002106</v>
      </c>
      <c r="D3172" s="3" t="str">
        <f>"F900-20-2339-(AR 4.2)"</f>
        <v>F900-20-2339-(AR 4.2)</v>
      </c>
      <c r="E3172" s="3" t="str">
        <f>"Maya Angelou"</f>
        <v>Maya Angelou</v>
      </c>
      <c r="F3172" s="3" t="str">
        <f>"written by Lisbeth Kaiser ; illustrated by Leire Salaberria"</f>
        <v>written by Lisbeth Kaiser ; illustrated by Leire Salaberria</v>
      </c>
      <c r="G3172" s="3" t="str">
        <f>"Frances Lincoln Children's Books"</f>
        <v>Frances Lincoln Children's Books</v>
      </c>
      <c r="H3172" s="2" t="str">
        <f>"2016"</f>
        <v>2016</v>
      </c>
      <c r="I3172" s="3" t="str">
        <f>""</f>
        <v/>
      </c>
    </row>
    <row r="3173" spans="1:9" x14ac:dyDescent="0.3">
      <c r="A3173" s="2">
        <v>3172</v>
      </c>
      <c r="B3173" s="4" t="s">
        <v>43</v>
      </c>
      <c r="C3173" s="3" t="str">
        <f>"TFC000002107"</f>
        <v>TFC000002107</v>
      </c>
      <c r="D3173" s="3" t="str">
        <f>"F900-20-2340-(AR 4.2)"</f>
        <v>F900-20-2340-(AR 4.2)</v>
      </c>
      <c r="E3173" s="3" t="str">
        <f>"Who was Christopher Columbus?"</f>
        <v>Who was Christopher Columbus?</v>
      </c>
      <c r="F3173" s="3" t="str">
        <f>"by Bonnie Bader ; illustrated by Nancy Harrison"</f>
        <v>by Bonnie Bader ; illustrated by Nancy Harrison</v>
      </c>
      <c r="G3173" s="3" t="str">
        <f>"Grosset &amp; Dunlap"</f>
        <v>Grosset &amp; Dunlap</v>
      </c>
      <c r="H3173" s="2" t="str">
        <f>"2013"</f>
        <v>2013</v>
      </c>
      <c r="I3173" s="3" t="str">
        <f>""</f>
        <v/>
      </c>
    </row>
    <row r="3174" spans="1:9" x14ac:dyDescent="0.3">
      <c r="A3174" s="2">
        <v>3173</v>
      </c>
      <c r="B3174" s="4" t="s">
        <v>43</v>
      </c>
      <c r="C3174" s="3" t="str">
        <f>"TFC000003035"</f>
        <v>TFC000003035</v>
      </c>
      <c r="D3174" s="3" t="str">
        <f>"F800-20-2332-(AR 4.2)"</f>
        <v>F800-20-2332-(AR 4.2)</v>
      </c>
      <c r="E3174" s="3" t="str">
        <f>"(The)world according to Humphrey"</f>
        <v>(The)world according to Humphrey</v>
      </c>
      <c r="F3174" s="3" t="str">
        <f>"Betty G. Birney"</f>
        <v>Betty G. Birney</v>
      </c>
      <c r="G3174" s="3" t="str">
        <f>"Puffin Books"</f>
        <v>Puffin Books</v>
      </c>
      <c r="H3174" s="2" t="str">
        <f>"2005"</f>
        <v>2005</v>
      </c>
      <c r="I3174" s="3" t="str">
        <f>""</f>
        <v/>
      </c>
    </row>
    <row r="3175" spans="1:9" x14ac:dyDescent="0.3">
      <c r="A3175" s="2">
        <v>3174</v>
      </c>
      <c r="B3175" s="4" t="s">
        <v>43</v>
      </c>
      <c r="C3175" s="3" t="str">
        <f>"TFC000003082"</f>
        <v>TFC000003082</v>
      </c>
      <c r="D3175" s="3" t="str">
        <f>"F800-20-2333-(AR 4.2)"</f>
        <v>F800-20-2333-(AR 4.2)</v>
      </c>
      <c r="E3175" s="3" t="str">
        <f>"(The)treasure of the sea"</f>
        <v>(The)treasure of the sea</v>
      </c>
      <c r="F3175" s="3" t="str">
        <f>"text by Thea Stilton ; illustrations by Giuseppe Facciotto...[et al.] ; translated by Emily Clement"</f>
        <v>text by Thea Stilton ; illustrations by Giuseppe Facciotto...[et al.] ; translated by Emily Clement</v>
      </c>
      <c r="G3175" s="3" t="str">
        <f>"Scholastic"</f>
        <v>Scholastic</v>
      </c>
      <c r="H3175" s="2" t="str">
        <f>"2016"</f>
        <v>2016</v>
      </c>
      <c r="I3175" s="3" t="str">
        <f>""</f>
        <v/>
      </c>
    </row>
    <row r="3176" spans="1:9" x14ac:dyDescent="0.3">
      <c r="A3176" s="2">
        <v>3175</v>
      </c>
      <c r="B3176" s="4" t="s">
        <v>43</v>
      </c>
      <c r="C3176" s="3" t="str">
        <f>"TFC000003097"</f>
        <v>TFC000003097</v>
      </c>
      <c r="D3176" s="3" t="str">
        <f>"F800-20-2334-(AR 4.2)"</f>
        <v>F800-20-2334-(AR 4.2)</v>
      </c>
      <c r="E3176" s="3" t="str">
        <f>"(The)sticky situation"</f>
        <v>(The)sticky situation</v>
      </c>
      <c r="F3176" s="3" t="str">
        <f>"Geronimo Stilton ; illustrations by Danilo Loizedda, Antonio Campo, Daria Cerchi ; translated by Anna Pizzelli"</f>
        <v>Geronimo Stilton ; illustrations by Danilo Loizedda, Antonio Campo, Daria Cerchi ; translated by Anna Pizzelli</v>
      </c>
      <c r="G3176" s="3" t="str">
        <f>"Scholastic"</f>
        <v>Scholastic</v>
      </c>
      <c r="H3176" s="2" t="str">
        <f>"2020"</f>
        <v>2020</v>
      </c>
      <c r="I3176" s="3" t="str">
        <f>""</f>
        <v/>
      </c>
    </row>
    <row r="3177" spans="1:9" x14ac:dyDescent="0.3">
      <c r="A3177" s="2">
        <v>3176</v>
      </c>
      <c r="B3177" s="4" t="s">
        <v>43</v>
      </c>
      <c r="C3177" s="3" t="str">
        <f>"TFC000003394"</f>
        <v>TFC000003394</v>
      </c>
      <c r="D3177" s="3" t="str">
        <f>"F500-21-0765-(AR 4.2)"</f>
        <v>F500-21-0765-(AR 4.2)</v>
      </c>
      <c r="E3177" s="3" t="str">
        <f>"What is a pandemic?"</f>
        <v>What is a pandemic?</v>
      </c>
      <c r="F3177" s="3" t="str">
        <f>"by Kara L. Laughlin"</f>
        <v>by Kara L. Laughlin</v>
      </c>
      <c r="G3177" s="3" t="str">
        <f>"The Child's World"</f>
        <v>The Child's World</v>
      </c>
      <c r="H3177" s="2" t="str">
        <f>"2021"</f>
        <v>2021</v>
      </c>
      <c r="I3177" s="3" t="str">
        <f>""</f>
        <v/>
      </c>
    </row>
    <row r="3178" spans="1:9" x14ac:dyDescent="0.3">
      <c r="A3178" s="2">
        <v>3177</v>
      </c>
      <c r="B3178" s="4" t="s">
        <v>43</v>
      </c>
      <c r="C3178" s="3" t="str">
        <f>"TFC000003395"</f>
        <v>TFC000003395</v>
      </c>
      <c r="D3178" s="3" t="str">
        <f>"F800-21-0766-(AR 4.2)"</f>
        <v>F800-21-0766-(AR 4.2)</v>
      </c>
      <c r="E3178" s="3" t="str">
        <f>"(The)giver"</f>
        <v>(The)giver</v>
      </c>
      <c r="F3178" s="3" t="str">
        <f>"based on the novel by Lois Lowry ; adapted by P. Craig Russell"</f>
        <v>based on the novel by Lois Lowry ; adapted by P. Craig Russell</v>
      </c>
      <c r="G3178" s="3" t="str">
        <f>"Houghton Mifflin Harcourt"</f>
        <v>Houghton Mifflin Harcourt</v>
      </c>
      <c r="H3178" s="2" t="str">
        <f>"2019"</f>
        <v>2019</v>
      </c>
      <c r="I3178" s="3" t="str">
        <f>""</f>
        <v/>
      </c>
    </row>
    <row r="3179" spans="1:9" x14ac:dyDescent="0.3">
      <c r="A3179" s="2">
        <v>3178</v>
      </c>
      <c r="B3179" s="4" t="s">
        <v>43</v>
      </c>
      <c r="C3179" s="3" t="str">
        <f>"TFC000003442"</f>
        <v>TFC000003442</v>
      </c>
      <c r="D3179" s="3" t="str">
        <f>"F800-21-0767-(AR 4.2)"</f>
        <v>F800-21-0767-(AR 4.2)</v>
      </c>
      <c r="E3179" s="3" t="str">
        <f>"(The)nixie's song"</f>
        <v>(The)nixie's song</v>
      </c>
      <c r="F3179" s="3" t="str">
        <f>"Tony DiTerlizzi and Holly Black"</f>
        <v>Tony DiTerlizzi and Holly Black</v>
      </c>
      <c r="G3179" s="3" t="str">
        <f>"Simon &amp; Schuster"</f>
        <v>Simon &amp; Schuster</v>
      </c>
      <c r="H3179" s="2" t="str">
        <f>"2007"</f>
        <v>2007</v>
      </c>
      <c r="I3179" s="3" t="str">
        <f>""</f>
        <v/>
      </c>
    </row>
    <row r="3180" spans="1:9" x14ac:dyDescent="0.3">
      <c r="A3180" s="2">
        <v>3179</v>
      </c>
      <c r="B3180" s="4" t="s">
        <v>43</v>
      </c>
      <c r="C3180" s="3" t="str">
        <f>"TFC000003586"</f>
        <v>TFC000003586</v>
      </c>
      <c r="D3180" s="3" t="str">
        <f>"F800-21-0768-(AR 4.2)"</f>
        <v>F800-21-0768-(AR 4.2)</v>
      </c>
      <c r="E3180" s="3" t="str">
        <f>"(The)spiderwick chronicles. 1, The field guide"</f>
        <v>(The)spiderwick chronicles. 1, The field guide</v>
      </c>
      <c r="F3180" s="3" t="str">
        <f>"by Tony DiTerlizzi and Holly Black"</f>
        <v>by Tony DiTerlizzi and Holly Black</v>
      </c>
      <c r="G3180" s="3" t="str">
        <f>"Simon and Schuster Books for Young Readers"</f>
        <v>Simon and Schuster Books for Young Readers</v>
      </c>
      <c r="H3180" s="2" t="str">
        <f>"2013"</f>
        <v>2013</v>
      </c>
      <c r="I3180" s="3" t="str">
        <f>""</f>
        <v/>
      </c>
    </row>
    <row r="3181" spans="1:9" x14ac:dyDescent="0.3">
      <c r="A3181" s="2">
        <v>3180</v>
      </c>
      <c r="B3181" s="4" t="s">
        <v>43</v>
      </c>
      <c r="C3181" s="3" t="str">
        <f>"TFC000003798"</f>
        <v>TFC000003798</v>
      </c>
      <c r="D3181" s="3" t="str">
        <f>"F800-21-0986c(AR 4.2)-(AR 4.2)"</f>
        <v>F800-21-0986c(AR 4.2)-(AR 4.2)</v>
      </c>
      <c r="E3181" s="3" t="str">
        <f>"Rules for vanishing"</f>
        <v>Rules for vanishing</v>
      </c>
      <c r="F3181" s="3" t="str">
        <f>"by Kate Alice Marshall"</f>
        <v>by Kate Alice Marshall</v>
      </c>
      <c r="G3181" s="3" t="str">
        <f>"Viking"</f>
        <v>Viking</v>
      </c>
      <c r="H3181" s="2" t="str">
        <f>"2019"</f>
        <v>2019</v>
      </c>
      <c r="I3181" s="3" t="str">
        <f>""</f>
        <v/>
      </c>
    </row>
    <row r="3182" spans="1:9" x14ac:dyDescent="0.3">
      <c r="A3182" s="2">
        <v>3181</v>
      </c>
      <c r="B3182" s="4" t="s">
        <v>43</v>
      </c>
      <c r="C3182" s="3" t="str">
        <f>"TFC000003889"</f>
        <v>TFC000003889</v>
      </c>
      <c r="D3182" s="3" t="str">
        <f>"F800-21-0769-(AR 4.2)"</f>
        <v>F800-21-0769-(AR 4.2)</v>
      </c>
      <c r="E3182" s="3" t="str">
        <f>"(The)Year of the dog : a novel"</f>
        <v>(The)Year of the dog : a novel</v>
      </c>
      <c r="F3182" s="3" t="str">
        <f>"by Grace Lin"</f>
        <v>by Grace Lin</v>
      </c>
      <c r="G3182" s="3" t="str">
        <f>"Little, Brown and Company"</f>
        <v>Little, Brown and Company</v>
      </c>
      <c r="H3182" s="2" t="str">
        <f>"2021"</f>
        <v>2021</v>
      </c>
      <c r="I3182" s="3" t="str">
        <f>""</f>
        <v/>
      </c>
    </row>
    <row r="3183" spans="1:9" x14ac:dyDescent="0.3">
      <c r="A3183" s="2">
        <v>3182</v>
      </c>
      <c r="B3183" s="4" t="s">
        <v>43</v>
      </c>
      <c r="C3183" s="3" t="str">
        <f>"TFC000004070"</f>
        <v>TFC000004070</v>
      </c>
      <c r="D3183" s="3" t="str">
        <f>"F800-21-0770-(AR 4.2)"</f>
        <v>F800-21-0770-(AR 4.2)</v>
      </c>
      <c r="E3183" s="3" t="str">
        <f>"Willodeen"</f>
        <v>Willodeen</v>
      </c>
      <c r="F3183" s="3" t="str">
        <f>"by Katherine Applegate, illustrations by Charles Santoso"</f>
        <v>by Katherine Applegate, illustrations by Charles Santoso</v>
      </c>
      <c r="G3183" s="3" t="str">
        <f>"Feiwel and Friends"</f>
        <v>Feiwel and Friends</v>
      </c>
      <c r="H3183" s="2" t="str">
        <f>"2021"</f>
        <v>2021</v>
      </c>
      <c r="I3183" s="3" t="str">
        <f>""</f>
        <v/>
      </c>
    </row>
    <row r="3184" spans="1:9" x14ac:dyDescent="0.3">
      <c r="A3184" s="2">
        <v>3183</v>
      </c>
      <c r="B3184" s="4" t="s">
        <v>43</v>
      </c>
      <c r="C3184" s="3" t="str">
        <f>"TFC000004071"</f>
        <v>TFC000004071</v>
      </c>
      <c r="D3184" s="3" t="str">
        <f>"F400-21-0764-(AR 4.2)"</f>
        <v>F400-21-0764-(AR 4.2)</v>
      </c>
      <c r="E3184" s="3" t="str">
        <f>"Lion vs. Hyena"</f>
        <v>Lion vs. Hyena</v>
      </c>
      <c r="F3184" s="3" t="str">
        <f>"by Lisa M. Bolt Simons"</f>
        <v>by Lisa M. Bolt Simons</v>
      </c>
      <c r="G3184" s="3" t="str">
        <f>"Capstone Press"</f>
        <v>Capstone Press</v>
      </c>
      <c r="H3184" s="2" t="str">
        <f>"2021"</f>
        <v>2021</v>
      </c>
      <c r="I3184" s="3" t="str">
        <f>""</f>
        <v/>
      </c>
    </row>
    <row r="3185" spans="1:9" x14ac:dyDescent="0.3">
      <c r="A3185" s="2">
        <v>3184</v>
      </c>
      <c r="B3185" s="4" t="s">
        <v>43</v>
      </c>
      <c r="C3185" s="3" t="str">
        <f>"TFC000004072"</f>
        <v>TFC000004072</v>
      </c>
      <c r="D3185" s="3" t="str">
        <f>"F900-21-0773-(AR 4.2)"</f>
        <v>F900-21-0773-(AR 4.2)</v>
      </c>
      <c r="E3185" s="3" t="str">
        <f>"Tom Holland : Acting Supersta"</f>
        <v>Tom Holland : Acting Supersta</v>
      </c>
      <c r="F3185" s="3" t="str">
        <f>"by Megan Borgert-spaniol"</f>
        <v>by Megan Borgert-spaniol</v>
      </c>
      <c r="G3185" s="3" t="str">
        <f>"Abdo"</f>
        <v>Abdo</v>
      </c>
      <c r="H3185" s="2" t="str">
        <f>"2021"</f>
        <v>2021</v>
      </c>
      <c r="I3185" s="3" t="str">
        <f>""</f>
        <v/>
      </c>
    </row>
    <row r="3186" spans="1:9" x14ac:dyDescent="0.3">
      <c r="A3186" s="2">
        <v>3185</v>
      </c>
      <c r="B3186" s="4" t="s">
        <v>43</v>
      </c>
      <c r="C3186" s="3" t="str">
        <f>"TFC000004073"</f>
        <v>TFC000004073</v>
      </c>
      <c r="D3186" s="3" t="str">
        <f>"F800-21-0771-(AR 4.2)"</f>
        <v>F800-21-0771-(AR 4.2)</v>
      </c>
      <c r="E3186" s="3" t="str">
        <f>"(The) most beautiful thing"</f>
        <v>(The) most beautiful thing</v>
      </c>
      <c r="F3186" s="3" t="str">
        <f>"Kao Kalia Yang, illustrated by Khoa Le"</f>
        <v>Kao Kalia Yang, illustrated by Khoa Le</v>
      </c>
      <c r="G3186" s="3" t="str">
        <f>"Carolrhoda Books"</f>
        <v>Carolrhoda Books</v>
      </c>
      <c r="H3186" s="2" t="str">
        <f>"2020"</f>
        <v>2020</v>
      </c>
      <c r="I3186" s="3" t="str">
        <f>""</f>
        <v/>
      </c>
    </row>
    <row r="3187" spans="1:9" x14ac:dyDescent="0.3">
      <c r="A3187" s="2">
        <v>3186</v>
      </c>
      <c r="B3187" s="4" t="s">
        <v>43</v>
      </c>
      <c r="C3187" s="3" t="str">
        <f>"TFC000004112"</f>
        <v>TFC000004112</v>
      </c>
      <c r="D3187" s="3" t="str">
        <f>"F800-21-0772-(AR 4.2)"</f>
        <v>F800-21-0772-(AR 4.2)</v>
      </c>
      <c r="E3187" s="3" t="str">
        <f>"Two Bobbies : a true story of Hurricane Katrina, friendship, and survival"</f>
        <v>Two Bobbies : a true story of Hurricane Katrina, friendship, and survival</v>
      </c>
      <c r="F3187" s="3" t="str">
        <f>"by Kirby Larson, Mary Nethery, illustrated by Jean Cassels"</f>
        <v>by Kirby Larson, Mary Nethery, illustrated by Jean Cassels</v>
      </c>
      <c r="G3187" s="3" t="str">
        <f>"Bloomsbury"</f>
        <v>Bloomsbury</v>
      </c>
      <c r="H3187" s="2" t="str">
        <f>"2013"</f>
        <v>2013</v>
      </c>
      <c r="I3187" s="3" t="str">
        <f>""</f>
        <v/>
      </c>
    </row>
    <row r="3188" spans="1:9" x14ac:dyDescent="0.3">
      <c r="A3188" s="2">
        <v>3187</v>
      </c>
      <c r="B3188" s="4" t="s">
        <v>43</v>
      </c>
      <c r="C3188" s="3" t="str">
        <f>"TFC000004356"</f>
        <v>TFC000004356</v>
      </c>
      <c r="D3188" s="3" t="str">
        <f>"F800-22-0165-(AR4.2)"</f>
        <v>F800-22-0165-(AR4.2)</v>
      </c>
      <c r="E3188" s="3" t="str">
        <f>"Rosie revere, engineer"</f>
        <v>Rosie revere, engineer</v>
      </c>
      <c r="F3188" s="3" t="str">
        <f>"by Andrea Beaty, illustrated by David Roberts"</f>
        <v>by Andrea Beaty, illustrated by David Roberts</v>
      </c>
      <c r="G3188" s="3" t="str">
        <f>"Abrams Books for Young Readers"</f>
        <v>Abrams Books for Young Readers</v>
      </c>
      <c r="H3188" s="2" t="str">
        <f>"2013"</f>
        <v>2013</v>
      </c>
      <c r="I3188" s="3" t="str">
        <f>""</f>
        <v/>
      </c>
    </row>
    <row r="3189" spans="1:9" x14ac:dyDescent="0.3">
      <c r="A3189" s="2">
        <v>3188</v>
      </c>
      <c r="B3189" s="4" t="s">
        <v>43</v>
      </c>
      <c r="C3189" s="3" t="str">
        <f>"TFC000004847"</f>
        <v>TFC000004847</v>
      </c>
      <c r="D3189" s="3" t="str">
        <f>"F800-22-0577-(AR4.2)"</f>
        <v>F800-22-0577-(AR4.2)</v>
      </c>
      <c r="E3189" s="3" t="str">
        <f>"(The)list of things that will not change"</f>
        <v>(The)list of things that will not change</v>
      </c>
      <c r="F3189" s="3" t="str">
        <f>"also by Rebecca Stead"</f>
        <v>also by Rebecca Stead</v>
      </c>
      <c r="G3189" s="3" t="str">
        <f>"Wendy Lamb Books"</f>
        <v>Wendy Lamb Books</v>
      </c>
      <c r="H3189" s="2" t="str">
        <f>"2020"</f>
        <v>2020</v>
      </c>
      <c r="I3189" s="3" t="str">
        <f>""</f>
        <v/>
      </c>
    </row>
    <row r="3190" spans="1:9" x14ac:dyDescent="0.3">
      <c r="A3190" s="2">
        <v>3189</v>
      </c>
      <c r="B3190" s="4" t="s">
        <v>43</v>
      </c>
      <c r="C3190" s="3" t="str">
        <f>"TFC000004497"</f>
        <v>TFC000004497</v>
      </c>
      <c r="D3190" s="3" t="str">
        <f>"F400-22-0306-(AR4.2)"</f>
        <v>F400-22-0306-(AR4.2)</v>
      </c>
      <c r="E3190" s="3" t="str">
        <f>"Superhuman Endurance"</f>
        <v>Superhuman Endurance</v>
      </c>
      <c r="F3190" s="3" t="str">
        <f>"by Kelly Doudna"</f>
        <v>by Kelly Doudna</v>
      </c>
      <c r="G3190" s="3" t="str">
        <f>"Big Buddy Books"</f>
        <v>Big Buddy Books</v>
      </c>
      <c r="H3190" s="2" t="str">
        <f>"2021"</f>
        <v>2021</v>
      </c>
      <c r="I3190" s="3" t="str">
        <f>""</f>
        <v/>
      </c>
    </row>
    <row r="3191" spans="1:9" x14ac:dyDescent="0.3">
      <c r="A3191" s="2">
        <v>3190</v>
      </c>
      <c r="B3191" s="4" t="s">
        <v>43</v>
      </c>
      <c r="C3191" s="3" t="str">
        <f>"TFC000004498"</f>
        <v>TFC000004498</v>
      </c>
      <c r="D3191" s="3" t="str">
        <f>"F800-22-0307-(AR4.2)"</f>
        <v>F800-22-0307-(AR4.2)</v>
      </c>
      <c r="E3191" s="3" t="str">
        <f>"(The)Three Little Superpigs and Goldilocks and the Three Bears"</f>
        <v>(The)Three Little Superpigs and Goldilocks and the Three Bears</v>
      </c>
      <c r="F3191" s="3" t="str">
        <f>"written and illustrated by Claire Evans"</f>
        <v>written and illustrated by Claire Evans</v>
      </c>
      <c r="G3191" s="3" t="str">
        <f>"Scholastic Press"</f>
        <v>Scholastic Press</v>
      </c>
      <c r="H3191" s="2" t="str">
        <f>"2022"</f>
        <v>2022</v>
      </c>
      <c r="I3191" s="3" t="str">
        <f>""</f>
        <v/>
      </c>
    </row>
    <row r="3192" spans="1:9" x14ac:dyDescent="0.3">
      <c r="A3192" s="2">
        <v>3191</v>
      </c>
      <c r="B3192" s="4" t="s">
        <v>43</v>
      </c>
      <c r="C3192" s="3" t="str">
        <f>"TFC000004499"</f>
        <v>TFC000004499</v>
      </c>
      <c r="D3192" s="3" t="str">
        <f>"F800-22-0308-(AR4.2)"</f>
        <v>F800-22-0308-(AR4.2)</v>
      </c>
      <c r="E3192" s="3" t="str">
        <f>"Zig ＆ Zag"</f>
        <v>Zig ＆ Zag</v>
      </c>
      <c r="F3192" s="3" t="str">
        <f>"by Ellen Miles"</f>
        <v>by Ellen Miles</v>
      </c>
      <c r="G3192" s="3" t="str">
        <f>"Scholastic Paperbacks"</f>
        <v>Scholastic Paperbacks</v>
      </c>
      <c r="H3192" s="2" t="str">
        <f>"2022"</f>
        <v>2022</v>
      </c>
      <c r="I3192" s="3" t="str">
        <f>""</f>
        <v/>
      </c>
    </row>
    <row r="3193" spans="1:9" x14ac:dyDescent="0.3">
      <c r="A3193" s="2">
        <v>3192</v>
      </c>
      <c r="B3193" s="4" t="s">
        <v>43</v>
      </c>
      <c r="C3193" s="3" t="str">
        <f>"TFC000004535"</f>
        <v>TFC000004535</v>
      </c>
      <c r="D3193" s="3" t="str">
        <f>"F800-22-0344-(AR4.2)"</f>
        <v>F800-22-0344-(AR4.2)</v>
      </c>
      <c r="E3193" s="3" t="str">
        <f>"(The)Problim Cildren. 3, Island in the Stars"</f>
        <v>(The)Problim Cildren. 3, Island in the Stars</v>
      </c>
      <c r="F3193" s="3" t="str">
        <f>"by Natalie Lloyd, interior illustrations by Davide Ortu"</f>
        <v>by Natalie Lloyd, interior illustrations by Davide Ortu</v>
      </c>
      <c r="G3193" s="3" t="str">
        <f>"Katherine Tegan Books"</f>
        <v>Katherine Tegan Books</v>
      </c>
      <c r="H3193" s="2" t="str">
        <f>"2020"</f>
        <v>2020</v>
      </c>
      <c r="I3193" s="3" t="str">
        <f>""</f>
        <v/>
      </c>
    </row>
    <row r="3194" spans="1:9" x14ac:dyDescent="0.3">
      <c r="A3194" s="2">
        <v>3193</v>
      </c>
      <c r="B3194" s="4" t="s">
        <v>43</v>
      </c>
      <c r="C3194" s="3" t="str">
        <f>"TFC000004536"</f>
        <v>TFC000004536</v>
      </c>
      <c r="D3194" s="3" t="str">
        <f>"F800-22-0345-(AR4.2)"</f>
        <v>F800-22-0345-(AR4.2)</v>
      </c>
      <c r="E3194" s="3" t="str">
        <f>"Just be cool, Jenna Sakai"</f>
        <v>Just be cool, Jenna Sakai</v>
      </c>
      <c r="F3194" s="3" t="str">
        <f>"by Debbi Michiko Florence"</f>
        <v>by Debbi Michiko Florence</v>
      </c>
      <c r="G3194" s="3" t="str">
        <f>"Scholastic"</f>
        <v>Scholastic</v>
      </c>
      <c r="H3194" s="2" t="str">
        <f>"2021"</f>
        <v>2021</v>
      </c>
      <c r="I3194" s="3" t="str">
        <f>""</f>
        <v/>
      </c>
    </row>
    <row r="3195" spans="1:9" x14ac:dyDescent="0.3">
      <c r="A3195" s="2">
        <v>3194</v>
      </c>
      <c r="B3195" s="4" t="s">
        <v>43</v>
      </c>
      <c r="C3195" s="3" t="str">
        <f>"TFC000004537"</f>
        <v>TFC000004537</v>
      </c>
      <c r="D3195" s="3" t="str">
        <f>"F800-22-0346-(AR4.2)"</f>
        <v>F800-22-0346-(AR4.2)</v>
      </c>
      <c r="E3195" s="3" t="str">
        <f>"Katt Loves Dogg"</f>
        <v>Katt Loves Dogg</v>
      </c>
      <c r="F3195" s="3" t="str">
        <f>"by James Patterson, Chris Grabenstein, illustrated by Anuki Lopez"</f>
        <v>by James Patterson, Chris Grabenstein, illustrated by Anuki Lopez</v>
      </c>
      <c r="G3195" s="3" t="str">
        <f>"Jimmy Patterson"</f>
        <v>Jimmy Patterson</v>
      </c>
      <c r="H3195" s="2" t="str">
        <f>"2021"</f>
        <v>2021</v>
      </c>
      <c r="I3195" s="3" t="str">
        <f>""</f>
        <v/>
      </c>
    </row>
    <row r="3196" spans="1:9" x14ac:dyDescent="0.3">
      <c r="A3196" s="2">
        <v>3195</v>
      </c>
      <c r="B3196" s="4" t="s">
        <v>43</v>
      </c>
      <c r="C3196" s="3" t="str">
        <f>"TFC000004611"</f>
        <v>TFC000004611</v>
      </c>
      <c r="D3196" s="3" t="str">
        <f>"F800-22-0420-(AR4.2)"</f>
        <v>F800-22-0420-(AR4.2)</v>
      </c>
      <c r="E3196" s="3" t="str">
        <f>"In the Same Boat"</f>
        <v>In the Same Boat</v>
      </c>
      <c r="F3196" s="3" t="str">
        <f>"by Holly Green"</f>
        <v>by Holly Green</v>
      </c>
      <c r="G3196" s="3" t="str">
        <f>"scholastic Press"</f>
        <v>scholastic Press</v>
      </c>
      <c r="H3196" s="2" t="str">
        <f>"2021"</f>
        <v>2021</v>
      </c>
      <c r="I3196" s="3" t="str">
        <f>""</f>
        <v/>
      </c>
    </row>
    <row r="3197" spans="1:9" x14ac:dyDescent="0.3">
      <c r="A3197" s="2">
        <v>3196</v>
      </c>
      <c r="B3197" s="4" t="s">
        <v>43</v>
      </c>
      <c r="C3197" s="3" t="str">
        <f>"TFC000004612"</f>
        <v>TFC000004612</v>
      </c>
      <c r="D3197" s="3" t="str">
        <f>"F800-22-0421-(AR4.2)"</f>
        <v>F800-22-0421-(AR4.2)</v>
      </c>
      <c r="E3197" s="3" t="str">
        <f>"Roda Tripped"</f>
        <v>Roda Tripped</v>
      </c>
      <c r="F3197" s="3" t="str">
        <f>"by Pete Hautman"</f>
        <v>by Pete Hautman</v>
      </c>
      <c r="G3197" s="3" t="str">
        <f>"Simon &amp; Schuster"</f>
        <v>Simon &amp; Schuster</v>
      </c>
      <c r="H3197" s="2" t="str">
        <f>"2019"</f>
        <v>2019</v>
      </c>
      <c r="I3197" s="3" t="str">
        <f>""</f>
        <v/>
      </c>
    </row>
    <row r="3198" spans="1:9" x14ac:dyDescent="0.3">
      <c r="A3198" s="2">
        <v>3197</v>
      </c>
      <c r="B3198" s="4" t="s">
        <v>43</v>
      </c>
      <c r="C3198" s="3" t="str">
        <f>"TFC000003111"</f>
        <v>TFC000003111</v>
      </c>
      <c r="D3198" s="3" t="str">
        <f>"F900-20-2341-[1](AR 4.2)"</f>
        <v>F900-20-2341-[1](AR 4.2)</v>
      </c>
      <c r="E3198" s="3" t="str">
        <f>"Amelia earhart"</f>
        <v>Amelia earhart</v>
      </c>
      <c r="F3198" s="3" t="str">
        <f>"written by Ma Isabel Sánchez Vegara ; illustrated by Mariadiamantes ; translated by Raquel Plitt"</f>
        <v>written by Ma Isabel Sánchez Vegara ; illustrated by Mariadiamantes ; translated by Raquel Plitt</v>
      </c>
      <c r="G3198" s="3" t="str">
        <f>"Frances Lincoln Children's Books"</f>
        <v>Frances Lincoln Children's Books</v>
      </c>
      <c r="H3198" s="2" t="str">
        <f>"2016"</f>
        <v>2016</v>
      </c>
      <c r="I3198" s="3" t="str">
        <f>""</f>
        <v/>
      </c>
    </row>
    <row r="3199" spans="1:9" x14ac:dyDescent="0.3">
      <c r="A3199" s="2">
        <v>3198</v>
      </c>
      <c r="B3199" s="4" t="s">
        <v>43</v>
      </c>
      <c r="C3199" s="3" t="str">
        <f>"TFC000003120"</f>
        <v>TFC000003120</v>
      </c>
      <c r="D3199" s="3" t="str">
        <f>"F900-20-2343-[10](AR 4.2)"</f>
        <v>F900-20-2343-[10](AR 4.2)</v>
      </c>
      <c r="E3199" s="3" t="str">
        <f>"Maya Angelou"</f>
        <v>Maya Angelou</v>
      </c>
      <c r="F3199" s="3" t="str">
        <f>"written by Lisbeth Kaiser ; illustrated by Leire Salaberria"</f>
        <v>written by Lisbeth Kaiser ; illustrated by Leire Salaberria</v>
      </c>
      <c r="G3199" s="3" t="str">
        <f>"Frances Lincoln"</f>
        <v>Frances Lincoln</v>
      </c>
      <c r="H3199" s="2" t="str">
        <f>"2014."</f>
        <v>2014.</v>
      </c>
      <c r="I3199" s="3" t="str">
        <f>""</f>
        <v/>
      </c>
    </row>
    <row r="3200" spans="1:9" x14ac:dyDescent="0.3">
      <c r="A3200" s="2">
        <v>3199</v>
      </c>
      <c r="B3200" s="4" t="s">
        <v>43</v>
      </c>
      <c r="C3200" s="3" t="str">
        <f>"TFC000003113"</f>
        <v>TFC000003113</v>
      </c>
      <c r="D3200" s="3" t="str">
        <f>"F900-20-2342-[3](AR 4.2)"</f>
        <v>F900-20-2342-[3](AR 4.2)</v>
      </c>
      <c r="E3200" s="3" t="str">
        <f>"Ada Lovelace"</f>
        <v>Ada Lovelace</v>
      </c>
      <c r="F3200" s="3" t="str">
        <f>"by Isabel Sanchez Vegara ; ill by Zafouko Yamamoto"</f>
        <v>by Isabel Sanchez Vegara ; ill by Zafouko Yamamoto</v>
      </c>
      <c r="G3200" s="3" t="str">
        <f>"Frances Lincoln Children&amp;apos;s"</f>
        <v>Frances Lincoln Children&amp;apos;s</v>
      </c>
      <c r="H3200" s="2" t="str">
        <f>"2017"</f>
        <v>2017</v>
      </c>
      <c r="I3200" s="3" t="str">
        <f>""</f>
        <v/>
      </c>
    </row>
    <row r="3201" spans="1:9" x14ac:dyDescent="0.3">
      <c r="A3201" s="2">
        <v>3200</v>
      </c>
      <c r="B3201" s="4">
        <v>4.2</v>
      </c>
      <c r="C3201" s="3" t="str">
        <f>"TFC000004730"</f>
        <v>TFC000004730</v>
      </c>
      <c r="D3201" s="3" t="str">
        <f>"F800-22-0524-6(AR 4.2)"</f>
        <v>F800-22-0524-6(AR 4.2)</v>
      </c>
      <c r="E3201" s="3" t="str">
        <f>"Dork diaries. 6, Holiday heartbreak"</f>
        <v>Dork diaries. 6, Holiday heartbreak</v>
      </c>
      <c r="F3201" s="3" t="str">
        <f>"by Rachel Renee Russell"</f>
        <v>by Rachel Renee Russell</v>
      </c>
      <c r="G3201" s="3" t="str">
        <f>"Simon &amp; Schuster"</f>
        <v>Simon &amp; Schuster</v>
      </c>
      <c r="H3201" s="2" t="str">
        <f>"2015"</f>
        <v>2015</v>
      </c>
      <c r="I3201" s="3" t="str">
        <f>""</f>
        <v/>
      </c>
    </row>
    <row r="3202" spans="1:9" x14ac:dyDescent="0.3">
      <c r="A3202" s="2">
        <v>3201</v>
      </c>
      <c r="B3202" s="4" t="s">
        <v>44</v>
      </c>
      <c r="C3202" s="3" t="str">
        <f>"TFC000003828"</f>
        <v>TFC000003828</v>
      </c>
      <c r="D3202" s="3" t="str">
        <f>"F800-21-0780-(AR 4.3)"</f>
        <v>F800-21-0780-(AR 4.3)</v>
      </c>
      <c r="E3202" s="3" t="str">
        <f>"Get Into Gear, Stilton!"</f>
        <v>Get Into Gear, Stilton!</v>
      </c>
      <c r="F3202" s="3" t="str">
        <f>"by Geronimo Stilton, [translated by Lidia Morson Tramontozzi]"</f>
        <v>by Geronimo Stilton, [translated by Lidia Morson Tramontozzi]</v>
      </c>
      <c r="G3202" s="3" t="str">
        <f>"Scholastic"</f>
        <v>Scholastic</v>
      </c>
      <c r="H3202" s="2" t="str">
        <f>"2013"</f>
        <v>2013</v>
      </c>
      <c r="I3202" s="3" t="str">
        <f>""</f>
        <v/>
      </c>
    </row>
    <row r="3203" spans="1:9" x14ac:dyDescent="0.3">
      <c r="A3203" s="2">
        <v>3202</v>
      </c>
      <c r="B3203" s="4" t="s">
        <v>44</v>
      </c>
      <c r="C3203" s="3" t="str">
        <f>"TFC000002108"</f>
        <v>TFC000002108</v>
      </c>
      <c r="D3203" s="3" t="str">
        <f>"F300-20-2344-(AR 4.3)"</f>
        <v>F300-20-2344-(AR 4.3)</v>
      </c>
      <c r="E3203" s="3" t="str">
        <f>"Golem"</f>
        <v>Golem</v>
      </c>
      <c r="F3203" s="3" t="str">
        <f>"story and pictures by David Wisniewski"</f>
        <v>story and pictures by David Wisniewski</v>
      </c>
      <c r="G3203" s="3" t="str">
        <f>"Clarion Books"</f>
        <v>Clarion Books</v>
      </c>
      <c r="H3203" s="2" t="str">
        <f>"2007"</f>
        <v>2007</v>
      </c>
      <c r="I3203" s="3" t="str">
        <f>""</f>
        <v/>
      </c>
    </row>
    <row r="3204" spans="1:9" x14ac:dyDescent="0.3">
      <c r="A3204" s="2">
        <v>3203</v>
      </c>
      <c r="B3204" s="4" t="s">
        <v>44</v>
      </c>
      <c r="C3204" s="3" t="str">
        <f>"TFC000002110"</f>
        <v>TFC000002110</v>
      </c>
      <c r="D3204" s="3" t="str">
        <f>"F400-20-2346-(AR 4.3)"</f>
        <v>F400-20-2346-(AR 4.3)</v>
      </c>
      <c r="E3204" s="3" t="str">
        <f>"Inside a hurricane"</f>
        <v>Inside a hurricane</v>
      </c>
      <c r="F3204" s="3" t="str">
        <f>"by Joanna Cole ; illustrated by Bruce Degen"</f>
        <v>by Joanna Cole ; illustrated by Bruce Degen</v>
      </c>
      <c r="G3204" s="3" t="str">
        <f>"Scholastic"</f>
        <v>Scholastic</v>
      </c>
      <c r="H3204" s="2" t="str">
        <f>"1997"</f>
        <v>1997</v>
      </c>
      <c r="I3204" s="3" t="str">
        <f>""</f>
        <v/>
      </c>
    </row>
    <row r="3205" spans="1:9" x14ac:dyDescent="0.3">
      <c r="A3205" s="2">
        <v>3204</v>
      </c>
      <c r="B3205" s="4" t="s">
        <v>44</v>
      </c>
      <c r="C3205" s="3" t="str">
        <f>"TFC000002111"</f>
        <v>TFC000002111</v>
      </c>
      <c r="D3205" s="3" t="str">
        <f>"F400-20-2347-(AR 4.3)"</f>
        <v>F400-20-2347-(AR 4.3)</v>
      </c>
      <c r="E3205" s="3" t="str">
        <f>"Manfish : a story of Jacques Cousteau"</f>
        <v>Manfish : a story of Jacques Cousteau</v>
      </c>
      <c r="F3205" s="3" t="str">
        <f>"by Jennifer Berne ; illustrated by Eric Puybaret"</f>
        <v>by Jennifer Berne ; illustrated by Eric Puybaret</v>
      </c>
      <c r="G3205" s="3" t="str">
        <f>"Chronicle Books"</f>
        <v>Chronicle Books</v>
      </c>
      <c r="H3205" s="2" t="str">
        <f>"2015"</f>
        <v>2015</v>
      </c>
      <c r="I3205" s="3" t="str">
        <f>""</f>
        <v/>
      </c>
    </row>
    <row r="3206" spans="1:9" x14ac:dyDescent="0.3">
      <c r="A3206" s="2">
        <v>3205</v>
      </c>
      <c r="B3206" s="4" t="s">
        <v>44</v>
      </c>
      <c r="C3206" s="3" t="str">
        <f>"TFC000002112"</f>
        <v>TFC000002112</v>
      </c>
      <c r="D3206" s="3" t="str">
        <f>"F500-20-2348-(AR 4.3)"</f>
        <v>F500-20-2348-(AR 4.3)</v>
      </c>
      <c r="E3206" s="3" t="str">
        <f>"(The)busy body book : a kid's guide to fitness"</f>
        <v>(The)busy body book : a kid's guide to fitness</v>
      </c>
      <c r="F3206" s="3" t="str">
        <f>"Lizzy Rockwell"</f>
        <v>Lizzy Rockwell</v>
      </c>
      <c r="G3206" s="3" t="str">
        <f>"Dragonfly Books"</f>
        <v>Dragonfly Books</v>
      </c>
      <c r="H3206" s="2" t="str">
        <f>"2004"</f>
        <v>2004</v>
      </c>
      <c r="I3206" s="3" t="str">
        <f>""</f>
        <v/>
      </c>
    </row>
    <row r="3207" spans="1:9" x14ac:dyDescent="0.3">
      <c r="A3207" s="2">
        <v>3206</v>
      </c>
      <c r="B3207" s="4" t="s">
        <v>44</v>
      </c>
      <c r="C3207" s="3" t="str">
        <f>"TFC000002113"</f>
        <v>TFC000002113</v>
      </c>
      <c r="D3207" s="3" t="str">
        <f>"F500-20-2349-(AR 4.3)"</f>
        <v>F500-20-2349-(AR 4.3)</v>
      </c>
      <c r="E3207" s="3" t="str">
        <f>"Can you fly high, Wright Brothers?"</f>
        <v>Can you fly high, Wright Brothers?</v>
      </c>
      <c r="F3207" s="3" t="str">
        <f>"by Melvin Berger, Gilda Berger ; illustrated by Brandon Dorman"</f>
        <v>by Melvin Berger, Gilda Berger ; illustrated by Brandon Dorman</v>
      </c>
      <c r="G3207" s="3" t="str">
        <f>"Scholastic"</f>
        <v>Scholastic</v>
      </c>
      <c r="H3207" s="2" t="str">
        <f>"2007"</f>
        <v>2007</v>
      </c>
      <c r="I3207" s="3" t="str">
        <f>""</f>
        <v/>
      </c>
    </row>
    <row r="3208" spans="1:9" x14ac:dyDescent="0.3">
      <c r="A3208" s="2">
        <v>3207</v>
      </c>
      <c r="B3208" s="4" t="s">
        <v>44</v>
      </c>
      <c r="C3208" s="3" t="str">
        <f>"TFC000002114"</f>
        <v>TFC000002114</v>
      </c>
      <c r="D3208" s="3" t="str">
        <f>"F800-20-2350-(AR 4.3)"</f>
        <v>F800-20-2350-(AR 4.3)</v>
      </c>
      <c r="E3208" s="3" t="str">
        <f>"(The)story about ping"</f>
        <v>(The)story about ping</v>
      </c>
      <c r="F3208" s="3" t="str">
        <f>"by Marjorie Flack, Kurt Wiese"</f>
        <v>by Marjorie Flack, Kurt Wiese</v>
      </c>
      <c r="G3208" s="3" t="str">
        <f>"Grosset &amp; Dunlap"</f>
        <v>Grosset &amp; Dunlap</v>
      </c>
      <c r="H3208" s="2" t="str">
        <f>"2000"</f>
        <v>2000</v>
      </c>
      <c r="I3208" s="3" t="str">
        <f>""</f>
        <v/>
      </c>
    </row>
    <row r="3209" spans="1:9" x14ac:dyDescent="0.3">
      <c r="A3209" s="2">
        <v>3208</v>
      </c>
      <c r="B3209" s="4" t="s">
        <v>44</v>
      </c>
      <c r="C3209" s="3" t="str">
        <f>"TFC000002115"</f>
        <v>TFC000002115</v>
      </c>
      <c r="D3209" s="3" t="str">
        <f>"F800-20-2351-(AR 4.3)"</f>
        <v>F800-20-2351-(AR 4.3)</v>
      </c>
      <c r="E3209" s="3" t="str">
        <f>"Catwings return"</f>
        <v>Catwings return</v>
      </c>
      <c r="F3209" s="3" t="str">
        <f>"Ursula K. Le Guin ; illustrated by S.D. Schindler"</f>
        <v>Ursula K. Le Guin ; illustrated by S.D. Schindler</v>
      </c>
      <c r="G3209" s="3" t="str">
        <f>"Scholastic"</f>
        <v>Scholastic</v>
      </c>
      <c r="H3209" s="2" t="str">
        <f>"2006"</f>
        <v>2006</v>
      </c>
      <c r="I3209" s="3" t="str">
        <f>""</f>
        <v/>
      </c>
    </row>
    <row r="3210" spans="1:9" x14ac:dyDescent="0.3">
      <c r="A3210" s="2">
        <v>3209</v>
      </c>
      <c r="B3210" s="4" t="s">
        <v>44</v>
      </c>
      <c r="C3210" s="3" t="str">
        <f>"TFC000002116"</f>
        <v>TFC000002116</v>
      </c>
      <c r="D3210" s="3" t="str">
        <f>"F800-20-2352-(AR 4.3)"</f>
        <v>F800-20-2352-(AR 4.3)</v>
      </c>
      <c r="E3210" s="3" t="str">
        <f>"Always room for one more"</f>
        <v>Always room for one more</v>
      </c>
      <c r="F3210" s="3" t="str">
        <f>"by Sorche Nic Leodhas ; illustrated by Nonny Hogrogian"</f>
        <v>by Sorche Nic Leodhas ; illustrated by Nonny Hogrogian</v>
      </c>
      <c r="G3210" s="3" t="str">
        <f>"Henry Holt and Company"</f>
        <v>Henry Holt and Company</v>
      </c>
      <c r="H3210" s="2" t="str">
        <f>"2012"</f>
        <v>2012</v>
      </c>
      <c r="I3210" s="3" t="str">
        <f>""</f>
        <v/>
      </c>
    </row>
    <row r="3211" spans="1:9" x14ac:dyDescent="0.3">
      <c r="A3211" s="2">
        <v>3210</v>
      </c>
      <c r="B3211" s="4" t="s">
        <v>44</v>
      </c>
      <c r="C3211" s="3" t="str">
        <f>"TFC000002117"</f>
        <v>TFC000002117</v>
      </c>
      <c r="D3211" s="3" t="str">
        <f>"F800-20-2353-(AR 4.3)"</f>
        <v>F800-20-2353-(AR 4.3)</v>
      </c>
      <c r="E3211" s="3" t="str">
        <f>"My brother Abe : Sally Lincoln's story"</f>
        <v>My brother Abe : Sally Lincoln's story</v>
      </c>
      <c r="F3211" s="3" t="str">
        <f>"by Harry Mazer"</f>
        <v>by Harry Mazer</v>
      </c>
      <c r="G3211" s="3" t="str">
        <f>"Simon &amp; Schuster Books for Young Readers"</f>
        <v>Simon &amp; Schuster Books for Young Readers</v>
      </c>
      <c r="H3211" s="2" t="str">
        <f>"2009"</f>
        <v>2009</v>
      </c>
      <c r="I3211" s="3" t="str">
        <f>""</f>
        <v/>
      </c>
    </row>
    <row r="3212" spans="1:9" x14ac:dyDescent="0.3">
      <c r="A3212" s="2">
        <v>3211</v>
      </c>
      <c r="B3212" s="4" t="s">
        <v>44</v>
      </c>
      <c r="C3212" s="3" t="str">
        <f>"TFC000002118"</f>
        <v>TFC000002118</v>
      </c>
      <c r="D3212" s="3" t="str">
        <f>"F800-20-2354-(AR 4.3)"</f>
        <v>F800-20-2354-(AR 4.3)</v>
      </c>
      <c r="E3212" s="3" t="str">
        <f>"(The tale of)squirrel nutkin"</f>
        <v>(The tale of)squirrel nutkin</v>
      </c>
      <c r="F3212" s="3" t="str">
        <f>"Beatrix Potter"</f>
        <v>Beatrix Potter</v>
      </c>
      <c r="G3212" s="3" t="str">
        <f>"Frederick Warne"</f>
        <v>Frederick Warne</v>
      </c>
      <c r="H3212" s="2" t="str">
        <f>"2002"</f>
        <v>2002</v>
      </c>
      <c r="I3212" s="3" t="str">
        <f>""</f>
        <v/>
      </c>
    </row>
    <row r="3213" spans="1:9" x14ac:dyDescent="0.3">
      <c r="A3213" s="2">
        <v>3212</v>
      </c>
      <c r="B3213" s="4" t="s">
        <v>44</v>
      </c>
      <c r="C3213" s="3" t="str">
        <f>"TFC000002119"</f>
        <v>TFC000002119</v>
      </c>
      <c r="D3213" s="3" t="str">
        <f>"F800-20-2355-(AR 4.3)"</f>
        <v>F800-20-2355-(AR 4.3)</v>
      </c>
      <c r="E3213" s="3" t="str">
        <f>"(The tale of)Flopsy Bunnies"</f>
        <v>(The tale of)Flopsy Bunnies</v>
      </c>
      <c r="F3213" s="3" t="str">
        <f>"by Beatrix Potter"</f>
        <v>by Beatrix Potter</v>
      </c>
      <c r="G3213" s="3" t="str">
        <f>"Frederick Warne"</f>
        <v>Frederick Warne</v>
      </c>
      <c r="H3213" s="2" t="str">
        <f>"2002"</f>
        <v>2002</v>
      </c>
      <c r="I3213" s="3" t="str">
        <f>""</f>
        <v/>
      </c>
    </row>
    <row r="3214" spans="1:9" x14ac:dyDescent="0.3">
      <c r="A3214" s="2">
        <v>3213</v>
      </c>
      <c r="B3214" s="4" t="s">
        <v>44</v>
      </c>
      <c r="C3214" s="3" t="str">
        <f>"TFC000002120"</f>
        <v>TFC000002120</v>
      </c>
      <c r="D3214" s="3" t="str">
        <f>"F800-20-2356-(AR 4.3)"</f>
        <v>F800-20-2356-(AR 4.3)</v>
      </c>
      <c r="E3214" s="3" t="str">
        <f>"Mufaro's beautiful daughters : an African tale"</f>
        <v>Mufaro's beautiful daughters : an African tale</v>
      </c>
      <c r="F3214" s="3" t="str">
        <f>"John Steptoe"</f>
        <v>John Steptoe</v>
      </c>
      <c r="G3214" s="3" t="str">
        <f>"Puffin Books"</f>
        <v>Puffin Books</v>
      </c>
      <c r="H3214" s="2" t="str">
        <f>"1997"</f>
        <v>1997</v>
      </c>
      <c r="I3214" s="3" t="str">
        <f>""</f>
        <v/>
      </c>
    </row>
    <row r="3215" spans="1:9" x14ac:dyDescent="0.3">
      <c r="A3215" s="2">
        <v>3214</v>
      </c>
      <c r="B3215" s="4" t="s">
        <v>44</v>
      </c>
      <c r="C3215" s="3" t="str">
        <f>"TFC000002121"</f>
        <v>TFC000002121</v>
      </c>
      <c r="D3215" s="3" t="str">
        <f>"F800-20-2357-(AR 4.3)"</f>
        <v>F800-20-2357-(AR 4.3)</v>
      </c>
      <c r="E3215" s="3" t="str">
        <f>"Brandnew new school, brave new Ruby"</f>
        <v>Brandnew new school, brave new Ruby</v>
      </c>
      <c r="F3215" s="3" t="str">
        <f>"by Derrick Barnes ; illustrated by Vanessa Brantley Newton"</f>
        <v>by Derrick Barnes ; illustrated by Vanessa Brantley Newton</v>
      </c>
      <c r="G3215" s="3" t="str">
        <f>"Scholastic"</f>
        <v>Scholastic</v>
      </c>
      <c r="H3215" s="2" t="str">
        <f>"2018"</f>
        <v>2018</v>
      </c>
      <c r="I3215" s="3" t="str">
        <f>""</f>
        <v/>
      </c>
    </row>
    <row r="3216" spans="1:9" x14ac:dyDescent="0.3">
      <c r="A3216" s="2">
        <v>3215</v>
      </c>
      <c r="B3216" s="4" t="s">
        <v>44</v>
      </c>
      <c r="C3216" s="3" t="str">
        <f>"TFC000002122"</f>
        <v>TFC000002122</v>
      </c>
      <c r="D3216" s="3" t="str">
        <f>"F800-20-2358-(AR 4.3)"</f>
        <v>F800-20-2358-(AR 4.3)</v>
      </c>
      <c r="E3216" s="3" t="str">
        <f>"Cloudy with a chance of meatballs"</f>
        <v>Cloudy with a chance of meatballs</v>
      </c>
      <c r="F3216" s="3" t="str">
        <f>"written by Judi Barrett ; drawn by Ron Barrett"</f>
        <v>written by Judi Barrett ; drawn by Ron Barrett</v>
      </c>
      <c r="G3216" s="3" t="str">
        <f>"Atheneum Books for Young Readers"</f>
        <v>Atheneum Books for Young Readers</v>
      </c>
      <c r="H3216" s="2" t="str">
        <f>"1978"</f>
        <v>1978</v>
      </c>
      <c r="I3216" s="3" t="str">
        <f>""</f>
        <v/>
      </c>
    </row>
    <row r="3217" spans="1:9" x14ac:dyDescent="0.3">
      <c r="A3217" s="2">
        <v>3216</v>
      </c>
      <c r="B3217" s="4" t="s">
        <v>44</v>
      </c>
      <c r="C3217" s="3" t="str">
        <f>"TFC000002123"</f>
        <v>TFC000002123</v>
      </c>
      <c r="D3217" s="3" t="str">
        <f>"F800-20-2359-(AR 4.3)"</f>
        <v>F800-20-2359-(AR 4.3)</v>
      </c>
      <c r="E3217" s="3" t="str">
        <f>"(The story of)ships"</f>
        <v>(The story of)ships</v>
      </c>
      <c r="F3217" s="3" t="str">
        <f>"Jane Bingham ; illustrated by Colin King"</f>
        <v>Jane Bingham ; illustrated by Colin King</v>
      </c>
      <c r="G3217" s="3" t="str">
        <f>"Usborne"</f>
        <v>Usborne</v>
      </c>
      <c r="H3217" s="2" t="str">
        <f>"2007"</f>
        <v>2007</v>
      </c>
      <c r="I3217" s="3" t="str">
        <f>""</f>
        <v/>
      </c>
    </row>
    <row r="3218" spans="1:9" x14ac:dyDescent="0.3">
      <c r="A3218" s="2">
        <v>3217</v>
      </c>
      <c r="B3218" s="4" t="s">
        <v>44</v>
      </c>
      <c r="C3218" s="3" t="str">
        <f>"TFC000002124"</f>
        <v>TFC000002124</v>
      </c>
      <c r="D3218" s="3" t="str">
        <f>"F800-20-2360-(AR 4.3)"</f>
        <v>F800-20-2360-(AR 4.3)</v>
      </c>
      <c r="E3218" s="3" t="str">
        <f>"(The)intrepid Canadian expedition"</f>
        <v>(The)intrepid Canadian expedition</v>
      </c>
      <c r="F3218" s="3" t="str">
        <f>"created by Jeff Brown ; written by Sara Pennypacker ; pictures by Macky Pamintuan"</f>
        <v>created by Jeff Brown ; written by Sara Pennypacker ; pictures by Macky Pamintuan</v>
      </c>
      <c r="G3218" s="3" t="str">
        <f>"Harper"</f>
        <v>Harper</v>
      </c>
      <c r="H3218" s="2" t="str">
        <f>"2010"</f>
        <v>2010</v>
      </c>
      <c r="I3218" s="3" t="str">
        <f>""</f>
        <v/>
      </c>
    </row>
    <row r="3219" spans="1:9" x14ac:dyDescent="0.3">
      <c r="A3219" s="2">
        <v>3218</v>
      </c>
      <c r="B3219" s="4" t="s">
        <v>44</v>
      </c>
      <c r="C3219" s="3" t="str">
        <f>"TFC000002125"</f>
        <v>TFC000002125</v>
      </c>
      <c r="D3219" s="3" t="str">
        <f>"F800-20-2361-(AR 4.3)"</f>
        <v>F800-20-2361-(AR 4.3)</v>
      </c>
      <c r="E3219" s="3" t="str">
        <f>"Jack Drake, teacher's pet"</f>
        <v>Jack Drake, teacher's pet</v>
      </c>
      <c r="F3219" s="3" t="str">
        <f>"Andrew Clements ; cover illustration by Marla Frazee ; interior illustrations by Janet Pedersen"</f>
        <v>Andrew Clements ; cover illustration by Marla Frazee ; interior illustrations by Janet Pedersen</v>
      </c>
      <c r="G3219" s="3" t="str">
        <f>"Aladdin Paperbacks"</f>
        <v>Aladdin Paperbacks</v>
      </c>
      <c r="H3219" s="2" t="str">
        <f>"2007"</f>
        <v>2007</v>
      </c>
      <c r="I3219" s="3" t="str">
        <f>""</f>
        <v/>
      </c>
    </row>
    <row r="3220" spans="1:9" x14ac:dyDescent="0.3">
      <c r="A3220" s="2">
        <v>3219</v>
      </c>
      <c r="B3220" s="4" t="s">
        <v>44</v>
      </c>
      <c r="C3220" s="3" t="str">
        <f>"TFC000002126"</f>
        <v>TFC000002126</v>
      </c>
      <c r="D3220" s="3" t="str">
        <f>"F800-20-2362-(AR 4.3)"</f>
        <v>F800-20-2362-(AR 4.3)</v>
      </c>
      <c r="E3220" s="3" t="str">
        <f>"(The stories of)toilets, telephones &amp; other useful inventions"</f>
        <v>(The stories of)toilets, telephones &amp; other useful inventions</v>
      </c>
      <c r="F3220" s="3" t="str">
        <f>"by Katie Daynes ; illustrated by Adam Larkum"</f>
        <v>by Katie Daynes ; illustrated by Adam Larkum</v>
      </c>
      <c r="G3220" s="3" t="str">
        <f>"Usborne"</f>
        <v>Usborne</v>
      </c>
      <c r="H3220" s="2" t="str">
        <f>"2007"</f>
        <v>2007</v>
      </c>
      <c r="I3220" s="3" t="str">
        <f>""</f>
        <v/>
      </c>
    </row>
    <row r="3221" spans="1:9" x14ac:dyDescent="0.3">
      <c r="A3221" s="2">
        <v>3220</v>
      </c>
      <c r="B3221" s="4" t="s">
        <v>44</v>
      </c>
      <c r="C3221" s="3" t="str">
        <f>"TFC000002127"</f>
        <v>TFC000002127</v>
      </c>
      <c r="D3221" s="3" t="str">
        <f>"F800-20-2363-(AR 4.3)"</f>
        <v>F800-20-2363-(AR 4.3)</v>
      </c>
      <c r="E3221" s="3" t="str">
        <f>"Flora &amp; Ulysses : the illuminated adventures"</f>
        <v>Flora &amp; Ulysses : the illuminated adventures</v>
      </c>
      <c r="F3221" s="3" t="str">
        <f>"Kate DiCamillo ; illustrated by K.G. Campbell"</f>
        <v>Kate DiCamillo ; illustrated by K.G. Campbell</v>
      </c>
      <c r="G3221" s="3" t="str">
        <f>"Candlewick Press"</f>
        <v>Candlewick Press</v>
      </c>
      <c r="H3221" s="2" t="str">
        <f>"2013"</f>
        <v>2013</v>
      </c>
      <c r="I3221" s="3" t="str">
        <f>""</f>
        <v/>
      </c>
    </row>
    <row r="3222" spans="1:9" x14ac:dyDescent="0.3">
      <c r="A3222" s="2">
        <v>3221</v>
      </c>
      <c r="B3222" s="4" t="s">
        <v>44</v>
      </c>
      <c r="C3222" s="3" t="str">
        <f>"TFC000002129"</f>
        <v>TFC000002129</v>
      </c>
      <c r="D3222" s="3" t="str">
        <f>"F800-20-2365-(AR 4.3)"</f>
        <v>F800-20-2365-(AR 4.3)</v>
      </c>
      <c r="E3222" s="3" t="str">
        <f>"Fortunately, the milk"</f>
        <v>Fortunately, the milk</v>
      </c>
      <c r="F3222" s="3" t="str">
        <f>"by Neil Gaiman ; illustrated by Skottie Young"</f>
        <v>by Neil Gaiman ; illustrated by Skottie Young</v>
      </c>
      <c r="G3222" s="3" t="str">
        <f>"Harper"</f>
        <v>Harper</v>
      </c>
      <c r="H3222" s="2" t="str">
        <f>"2013"</f>
        <v>2013</v>
      </c>
      <c r="I3222" s="3" t="str">
        <f>""</f>
        <v/>
      </c>
    </row>
    <row r="3223" spans="1:9" x14ac:dyDescent="0.3">
      <c r="A3223" s="2">
        <v>3222</v>
      </c>
      <c r="B3223" s="4" t="s">
        <v>44</v>
      </c>
      <c r="C3223" s="3" t="str">
        <f>"TFC000002131"</f>
        <v>TFC000002131</v>
      </c>
      <c r="D3223" s="3" t="str">
        <f>"F800-20-2367-(AR 4.3)"</f>
        <v>F800-20-2367-(AR 4.3)</v>
      </c>
      <c r="E3223" s="3" t="str">
        <f>"Jackie &amp; me : a baseball card adventure"</f>
        <v>Jackie &amp; me : a baseball card adventure</v>
      </c>
      <c r="F3223" s="3" t="str">
        <f>"by Dan Gutman"</f>
        <v>by Dan Gutman</v>
      </c>
      <c r="G3223" s="3" t="str">
        <f>"Avon Books"</f>
        <v>Avon Books</v>
      </c>
      <c r="H3223" s="2" t="str">
        <f>"1999"</f>
        <v>1999</v>
      </c>
      <c r="I3223" s="3" t="str">
        <f>""</f>
        <v/>
      </c>
    </row>
    <row r="3224" spans="1:9" x14ac:dyDescent="0.3">
      <c r="A3224" s="2">
        <v>3223</v>
      </c>
      <c r="B3224" s="4" t="s">
        <v>44</v>
      </c>
      <c r="C3224" s="3" t="str">
        <f>"TFC000002132"</f>
        <v>TFC000002132</v>
      </c>
      <c r="D3224" s="3" t="str">
        <f>"F800-20-2368-(AR 4.3)"</f>
        <v>F800-20-2368-(AR 4.3)</v>
      </c>
      <c r="E3224" s="3" t="str">
        <f>"Miss Daisy is crazy!"</f>
        <v>Miss Daisy is crazy!</v>
      </c>
      <c r="F3224" s="3" t="str">
        <f>"Dan Gutman ; pictures by Jim Paillot"</f>
        <v>Dan Gutman ; pictures by Jim Paillot</v>
      </c>
      <c r="G3224" s="3" t="str">
        <f>"HarperTrophy"</f>
        <v>HarperTrophy</v>
      </c>
      <c r="H3224" s="2" t="str">
        <f>"2004"</f>
        <v>2004</v>
      </c>
      <c r="I3224" s="3" t="str">
        <f>""</f>
        <v/>
      </c>
    </row>
    <row r="3225" spans="1:9" x14ac:dyDescent="0.3">
      <c r="A3225" s="2">
        <v>3224</v>
      </c>
      <c r="B3225" s="4" t="s">
        <v>44</v>
      </c>
      <c r="C3225" s="3" t="str">
        <f>"TFC000002134"</f>
        <v>TFC000002134</v>
      </c>
      <c r="D3225" s="3" t="str">
        <f>"F800-20-2370-(AR 4.3)"</f>
        <v>F800-20-2370-(AR 4.3)</v>
      </c>
      <c r="E3225" s="3" t="str">
        <f>"Warriors : super edition : squirrelflight's hope"</f>
        <v>Warriors : super edition : squirrelflight's hope</v>
      </c>
      <c r="F3225" s="3" t="str">
        <f>"Erin Hunter"</f>
        <v>Erin Hunter</v>
      </c>
      <c r="G3225" s="3" t="str">
        <f>"Harper"</f>
        <v>Harper</v>
      </c>
      <c r="H3225" s="2" t="str">
        <f>"2019"</f>
        <v>2019</v>
      </c>
      <c r="I3225" s="3" t="str">
        <f>""</f>
        <v/>
      </c>
    </row>
    <row r="3226" spans="1:9" x14ac:dyDescent="0.3">
      <c r="A3226" s="2">
        <v>3225</v>
      </c>
      <c r="B3226" s="4" t="s">
        <v>44</v>
      </c>
      <c r="C3226" s="3" t="str">
        <f>"TFC000002135"</f>
        <v>TFC000002135</v>
      </c>
      <c r="D3226" s="3" t="str">
        <f>"F800-20-2371-(AR 4.3)"</f>
        <v>F800-20-2371-(AR 4.3)</v>
      </c>
      <c r="E3226" s="3" t="str">
        <f>"Warriors : the broken code. 2, the silent thaw"</f>
        <v>Warriors : the broken code. 2, the silent thaw</v>
      </c>
      <c r="F3226" s="3" t="str">
        <f>"Erin Hunter"</f>
        <v>Erin Hunter</v>
      </c>
      <c r="G3226" s="3" t="str">
        <f>"Harper"</f>
        <v>Harper</v>
      </c>
      <c r="H3226" s="2" t="str">
        <f>"2019"</f>
        <v>2019</v>
      </c>
      <c r="I3226" s="3" t="str">
        <f>""</f>
        <v/>
      </c>
    </row>
    <row r="3227" spans="1:9" x14ac:dyDescent="0.3">
      <c r="A3227" s="2">
        <v>3226</v>
      </c>
      <c r="B3227" s="4" t="s">
        <v>44</v>
      </c>
      <c r="C3227" s="3" t="str">
        <f>"TFC000002136"</f>
        <v>TFC000002136</v>
      </c>
      <c r="D3227" s="3" t="str">
        <f>"F800-20-2372-(AR 4.3)"</f>
        <v>F800-20-2372-(AR 4.3)</v>
      </c>
      <c r="E3227" s="3" t="str">
        <f>"Class president"</f>
        <v>Class president</v>
      </c>
      <c r="F3227" s="3" t="str">
        <f>"Johanna Hurwitz ; illustrated by Sheila Hamanaka"</f>
        <v>Johanna Hurwitz ; illustrated by Sheila Hamanaka</v>
      </c>
      <c r="G3227" s="3" t="str">
        <f>"Morrow Junior Books"</f>
        <v>Morrow Junior Books</v>
      </c>
      <c r="H3227" s="2" t="str">
        <f>"1990"</f>
        <v>1990</v>
      </c>
      <c r="I3227" s="3" t="str">
        <f>""</f>
        <v/>
      </c>
    </row>
    <row r="3228" spans="1:9" x14ac:dyDescent="0.3">
      <c r="A3228" s="2">
        <v>3227</v>
      </c>
      <c r="B3228" s="4" t="s">
        <v>44</v>
      </c>
      <c r="C3228" s="3" t="str">
        <f>"TFC000002137"</f>
        <v>TFC000002137</v>
      </c>
      <c r="D3228" s="3" t="str">
        <f>"F800-20-2373-(AR 4.3)"</f>
        <v>F800-20-2373-(AR 4.3)</v>
      </c>
      <c r="E3228" s="3" t="str">
        <f>"Hamster magic"</f>
        <v>Hamster magic</v>
      </c>
      <c r="F3228" s="3" t="str">
        <f>"by Lynne Jonell ; illustrated by Brandon Dorman"</f>
        <v>by Lynne Jonell ; illustrated by Brandon Dorman</v>
      </c>
      <c r="G3228" s="3" t="str">
        <f>"Random House"</f>
        <v>Random House</v>
      </c>
      <c r="H3228" s="2" t="str">
        <f>"2010"</f>
        <v>2010</v>
      </c>
      <c r="I3228" s="3" t="str">
        <f>""</f>
        <v/>
      </c>
    </row>
    <row r="3229" spans="1:9" x14ac:dyDescent="0.3">
      <c r="A3229" s="2">
        <v>3228</v>
      </c>
      <c r="B3229" s="4" t="s">
        <v>44</v>
      </c>
      <c r="C3229" s="3" t="str">
        <f>"TFC000002138"</f>
        <v>TFC000002138</v>
      </c>
      <c r="D3229" s="3" t="str">
        <f>"F800-20-2374-(AR 4.3)"</f>
        <v>F800-20-2374-(AR 4.3)</v>
      </c>
      <c r="E3229" s="3" t="str">
        <f>"Hansel and Gretel"</f>
        <v>Hansel and Gretel</v>
      </c>
      <c r="F3229" s="3" t="str">
        <f>"retold by Rika Lesser ; illustrated by Paul O. Zelinsky"</f>
        <v>retold by Rika Lesser ; illustrated by Paul O. Zelinsky</v>
      </c>
      <c r="G3229" s="3" t="str">
        <f>"Puffin books"</f>
        <v>Puffin books</v>
      </c>
      <c r="H3229" s="2" t="str">
        <f>"1996"</f>
        <v>1996</v>
      </c>
      <c r="I3229" s="3" t="str">
        <f>""</f>
        <v/>
      </c>
    </row>
    <row r="3230" spans="1:9" x14ac:dyDescent="0.3">
      <c r="A3230" s="2">
        <v>3229</v>
      </c>
      <c r="B3230" s="4" t="s">
        <v>44</v>
      </c>
      <c r="C3230" s="3" t="str">
        <f>"TFC000002141"</f>
        <v>TFC000002141</v>
      </c>
      <c r="D3230" s="3" t="str">
        <f>"F800-20-2377-(AR 4.3)"</f>
        <v>F800-20-2377-(AR 4.3)</v>
      </c>
      <c r="E3230" s="3" t="str">
        <f>"Amelia's must-keep resolutions for the best year ever!"</f>
        <v>Amelia's must-keep resolutions for the best year ever!</v>
      </c>
      <c r="F3230" s="3" t="str">
        <f>"by Marissa Moss"</f>
        <v>by Marissa Moss</v>
      </c>
      <c r="G3230" s="3" t="str">
        <f>"Simon &amp; Schuster Books for Young Readers"</f>
        <v>Simon &amp; Schuster Books for Young Readers</v>
      </c>
      <c r="H3230" s="2" t="str">
        <f>"2006"</f>
        <v>2006</v>
      </c>
      <c r="I3230" s="3" t="str">
        <f>""</f>
        <v/>
      </c>
    </row>
    <row r="3231" spans="1:9" x14ac:dyDescent="0.3">
      <c r="A3231" s="2">
        <v>3230</v>
      </c>
      <c r="B3231" s="4" t="s">
        <v>44</v>
      </c>
      <c r="C3231" s="3" t="str">
        <f>"TFC000002142"</f>
        <v>TFC000002142</v>
      </c>
      <c r="D3231" s="3" t="str">
        <f>"F800-20-2378-(AR 4.3)"</f>
        <v>F800-20-2378-(AR 4.3)</v>
      </c>
      <c r="E3231" s="3" t="str">
        <f>"Vote 4 Amelia"</f>
        <v>Vote 4 Amelia</v>
      </c>
      <c r="F3231" s="3" t="str">
        <f>"by Marissa Moss"</f>
        <v>by Marissa Moss</v>
      </c>
      <c r="G3231" s="3" t="str">
        <f>"Simon &amp; Schuster Books for Young Readers"</f>
        <v>Simon &amp; Schuster Books for Young Readers</v>
      </c>
      <c r="H3231" s="2" t="str">
        <f>"2007"</f>
        <v>2007</v>
      </c>
      <c r="I3231" s="3" t="str">
        <f>""</f>
        <v/>
      </c>
    </row>
    <row r="3232" spans="1:9" x14ac:dyDescent="0.3">
      <c r="A3232" s="2">
        <v>3231</v>
      </c>
      <c r="B3232" s="4" t="s">
        <v>44</v>
      </c>
      <c r="C3232" s="3" t="str">
        <f>"TFC000002143"</f>
        <v>TFC000002143</v>
      </c>
      <c r="D3232" s="3" t="str">
        <f>"F800-20-2379-(AR 4.3)"</f>
        <v>F800-20-2379-(AR 4.3)</v>
      </c>
      <c r="E3232" s="3" t="str">
        <f>"Attack of the growling eyeballs"</f>
        <v>Attack of the growling eyeballs</v>
      </c>
      <c r="F3232" s="3" t="str">
        <f>"written by Lin Oliver ; illustrated by Stephen Gilpin"</f>
        <v>written by Lin Oliver ; illustrated by Stephen Gilpin</v>
      </c>
      <c r="G3232" s="3" t="str">
        <f>"Simon &amp; Schuster"</f>
        <v>Simon &amp; Schuster</v>
      </c>
      <c r="H3232" s="2" t="str">
        <f>"2008"</f>
        <v>2008</v>
      </c>
      <c r="I3232" s="3" t="str">
        <f>""</f>
        <v/>
      </c>
    </row>
    <row r="3233" spans="1:9" x14ac:dyDescent="0.3">
      <c r="A3233" s="2">
        <v>3232</v>
      </c>
      <c r="B3233" s="4" t="s">
        <v>44</v>
      </c>
      <c r="C3233" s="3" t="str">
        <f>"TFC000002145"</f>
        <v>TFC000002145</v>
      </c>
      <c r="D3233" s="3" t="str">
        <f>"F800-20-2381-(AR 4.3)"</f>
        <v>F800-20-2381-(AR 4.3)</v>
      </c>
      <c r="E3233" s="3" t="str">
        <f>"(The)adventures of Captain Underpants"</f>
        <v>(The)adventures of Captain Underpants</v>
      </c>
      <c r="F3233" s="3" t="str">
        <f>"by Dav Pilkey"</f>
        <v>by Dav Pilkey</v>
      </c>
      <c r="G3233" s="3" t="str">
        <f>"Scholastic"</f>
        <v>Scholastic</v>
      </c>
      <c r="H3233" s="2" t="str">
        <f>"1997"</f>
        <v>1997</v>
      </c>
      <c r="I3233" s="3" t="str">
        <f>""</f>
        <v/>
      </c>
    </row>
    <row r="3234" spans="1:9" x14ac:dyDescent="0.3">
      <c r="A3234" s="2">
        <v>3233</v>
      </c>
      <c r="B3234" s="4" t="s">
        <v>44</v>
      </c>
      <c r="C3234" s="3" t="str">
        <f>"TFC000002146"</f>
        <v>TFC000002146</v>
      </c>
      <c r="D3234" s="3" t="str">
        <f>"F800-20-2382-(AR 4.3)"</f>
        <v>F800-20-2382-(AR 4.3)</v>
      </c>
      <c r="E3234" s="3" t="str">
        <f>"(The)adventures of Captain Underpants"</f>
        <v>(The)adventures of Captain Underpants</v>
      </c>
      <c r="F3234" s="3" t="str">
        <f>"by Dav Pilkey"</f>
        <v>by Dav Pilkey</v>
      </c>
      <c r="G3234" s="3" t="str">
        <f>"Scholastic"</f>
        <v>Scholastic</v>
      </c>
      <c r="H3234" s="2" t="str">
        <f>"2013"</f>
        <v>2013</v>
      </c>
      <c r="I3234" s="3" t="str">
        <f>""</f>
        <v/>
      </c>
    </row>
    <row r="3235" spans="1:9" x14ac:dyDescent="0.3">
      <c r="A3235" s="2">
        <v>3234</v>
      </c>
      <c r="B3235" s="4" t="s">
        <v>44</v>
      </c>
      <c r="C3235" s="3" t="str">
        <f>"TFC000002147"</f>
        <v>TFC000002147</v>
      </c>
      <c r="D3235" s="3" t="str">
        <f>"F800-20-2383-(AR 4.3)"</f>
        <v>F800-20-2383-(AR 4.3)</v>
      </c>
      <c r="E3235" s="3" t="str">
        <f>"Dork diaries. 8, tales from a not-so-happily ever after"</f>
        <v>Dork diaries. 8, tales from a not-so-happily ever after</v>
      </c>
      <c r="F3235" s="3" t="str">
        <f>"Rachel Renee Russell, Nikki Russell, Erin Russell"</f>
        <v>Rachel Renee Russell, Nikki Russell, Erin Russell</v>
      </c>
      <c r="G3235" s="3" t="str">
        <f>"Aladdin"</f>
        <v>Aladdin</v>
      </c>
      <c r="H3235" s="2" t="str">
        <f>"2014"</f>
        <v>2014</v>
      </c>
      <c r="I3235" s="3" t="str">
        <f>""</f>
        <v/>
      </c>
    </row>
    <row r="3236" spans="1:9" x14ac:dyDescent="0.3">
      <c r="A3236" s="2">
        <v>3235</v>
      </c>
      <c r="B3236" s="4" t="s">
        <v>44</v>
      </c>
      <c r="C3236" s="3" t="str">
        <f>"TFC000002149"</f>
        <v>TFC000002149</v>
      </c>
      <c r="D3236" s="3" t="str">
        <f>"F800-20-2385-(AR 4.3)"</f>
        <v>F800-20-2385-(AR 4.3)</v>
      </c>
      <c r="E3236" s="3" t="str">
        <f>"(The)39 clues. 1, the maze of bones"</f>
        <v>(The)39 clues. 1, the maze of bones</v>
      </c>
      <c r="F3236" s="3" t="str">
        <f>"Rick Riordan"</f>
        <v>Rick Riordan</v>
      </c>
      <c r="G3236" s="3" t="str">
        <f>"Scholastic"</f>
        <v>Scholastic</v>
      </c>
      <c r="H3236" s="2" t="str">
        <f>"2008"</f>
        <v>2008</v>
      </c>
      <c r="I3236" s="3" t="str">
        <f>""</f>
        <v/>
      </c>
    </row>
    <row r="3237" spans="1:9" x14ac:dyDescent="0.3">
      <c r="A3237" s="2">
        <v>3236</v>
      </c>
      <c r="B3237" s="4" t="s">
        <v>44</v>
      </c>
      <c r="C3237" s="3" t="str">
        <f>"TFC000002150"</f>
        <v>TFC000002150</v>
      </c>
      <c r="D3237" s="3" t="str">
        <f>"F800-20-2386-(AR 4.3)"</f>
        <v>F800-20-2386-(AR 4.3)</v>
      </c>
      <c r="E3237" s="3" t="str">
        <f>"Stick dog gets the tacos"</f>
        <v>Stick dog gets the tacos</v>
      </c>
      <c r="F3237" s="3" t="str">
        <f>"by Tom Watson ; illustrated by Ethan Long"</f>
        <v>by Tom Watson ; illustrated by Ethan Long</v>
      </c>
      <c r="G3237" s="3" t="str">
        <f>"Harper"</f>
        <v>Harper</v>
      </c>
      <c r="H3237" s="2" t="str">
        <f>"2019"</f>
        <v>2019</v>
      </c>
      <c r="I3237" s="3" t="str">
        <f>""</f>
        <v/>
      </c>
    </row>
    <row r="3238" spans="1:9" x14ac:dyDescent="0.3">
      <c r="A3238" s="2">
        <v>3237</v>
      </c>
      <c r="B3238" s="4" t="s">
        <v>44</v>
      </c>
      <c r="C3238" s="3" t="str">
        <f>"TFC000002151"</f>
        <v>TFC000002151</v>
      </c>
      <c r="D3238" s="3" t="str">
        <f>"F800-20-2387-(AR 4.3)"</f>
        <v>F800-20-2387-(AR 4.3)</v>
      </c>
      <c r="E3238" s="3" t="str">
        <f>"Follow the drinking gourd"</f>
        <v>Follow the drinking gourd</v>
      </c>
      <c r="F3238" s="3" t="str">
        <f>"story and pictures by Jeanette Winter"</f>
        <v>story and pictures by Jeanette Winter</v>
      </c>
      <c r="G3238" s="3" t="str">
        <f>"Dragonfly Books"</f>
        <v>Dragonfly Books</v>
      </c>
      <c r="H3238" s="2" t="str">
        <f>"1998"</f>
        <v>1998</v>
      </c>
      <c r="I3238" s="3" t="str">
        <f>""</f>
        <v/>
      </c>
    </row>
    <row r="3239" spans="1:9" x14ac:dyDescent="0.3">
      <c r="A3239" s="2">
        <v>3238</v>
      </c>
      <c r="B3239" s="4" t="s">
        <v>44</v>
      </c>
      <c r="C3239" s="3" t="str">
        <f>"TFC000002152"</f>
        <v>TFC000002152</v>
      </c>
      <c r="D3239" s="3" t="str">
        <f>"F800-20-2388-(AR 4.3)"</f>
        <v>F800-20-2388-(AR 4.3)</v>
      </c>
      <c r="E3239" s="3" t="str">
        <f>"(A)very merry Christmas"</f>
        <v>(A)very merry Christmas</v>
      </c>
      <c r="F3239" s="3" t="str">
        <f>"Geronimo Stilton ; illustrations by Claudius Cernuschi, Giuseppe Di Dio, Christian Aliprandi"</f>
        <v>Geronimo Stilton ; illustrations by Claudius Cernuschi, Giuseppe Di Dio, Christian Aliprandi</v>
      </c>
      <c r="G3239" s="3" t="str">
        <f>"Scholastic"</f>
        <v>Scholastic</v>
      </c>
      <c r="H3239" s="2" t="str">
        <f>"2008"</f>
        <v>2008</v>
      </c>
      <c r="I3239" s="3" t="str">
        <f>""</f>
        <v/>
      </c>
    </row>
    <row r="3240" spans="1:9" x14ac:dyDescent="0.3">
      <c r="A3240" s="2">
        <v>3239</v>
      </c>
      <c r="B3240" s="4" t="s">
        <v>44</v>
      </c>
      <c r="C3240" s="3" t="str">
        <f>"TFC000002153"</f>
        <v>TFC000002153</v>
      </c>
      <c r="D3240" s="3" t="str">
        <f>"F900-20-2390-(AR 4.3)"</f>
        <v>F900-20-2390-(AR 4.3)</v>
      </c>
      <c r="E3240" s="3" t="str">
        <f>"Who was Amelia Earhart?"</f>
        <v>Who was Amelia Earhart?</v>
      </c>
      <c r="F3240" s="3" t="str">
        <f>"by Boehm Jerome ; illustrated by David Cain"</f>
        <v>by Boehm Jerome ; illustrated by David Cain</v>
      </c>
      <c r="G3240" s="3" t="str">
        <f>"Grosset &amp; Dunlap"</f>
        <v>Grosset &amp; Dunlap</v>
      </c>
      <c r="H3240" s="2" t="str">
        <f>"2002"</f>
        <v>2002</v>
      </c>
      <c r="I3240" s="3" t="str">
        <f>""</f>
        <v/>
      </c>
    </row>
    <row r="3241" spans="1:9" x14ac:dyDescent="0.3">
      <c r="A3241" s="2">
        <v>3240</v>
      </c>
      <c r="B3241" s="4" t="s">
        <v>44</v>
      </c>
      <c r="C3241" s="3" t="str">
        <f>"TFC000002154"</f>
        <v>TFC000002154</v>
      </c>
      <c r="D3241" s="3" t="str">
        <f>"F900-20-2391-(AR 4.3)"</f>
        <v>F900-20-2391-(AR 4.3)</v>
      </c>
      <c r="E3241" s="3" t="str">
        <f>"Pocket full of colors : the magical world of Mary Blair, Disney artist extraordinaire"</f>
        <v>Pocket full of colors : the magical world of Mary Blair, Disney artist extraordinaire</v>
      </c>
      <c r="F3241" s="3" t="str">
        <f>"Amy Guglielmo, Jacqueline Tourville ; illustrated by Brigette Barrager"</f>
        <v>Amy Guglielmo, Jacqueline Tourville ; illustrated by Brigette Barrager</v>
      </c>
      <c r="G3241" s="3" t="str">
        <f>"Atheneum Books for Young Readers"</f>
        <v>Atheneum Books for Young Readers</v>
      </c>
      <c r="H3241" s="2" t="str">
        <f>"2017"</f>
        <v>2017</v>
      </c>
      <c r="I3241" s="3" t="str">
        <f>""</f>
        <v/>
      </c>
    </row>
    <row r="3242" spans="1:9" x14ac:dyDescent="0.3">
      <c r="A3242" s="2">
        <v>3241</v>
      </c>
      <c r="B3242" s="4" t="s">
        <v>44</v>
      </c>
      <c r="C3242" s="3" t="str">
        <f>"TFC000002155"</f>
        <v>TFC000002155</v>
      </c>
      <c r="D3242" s="3" t="str">
        <f>"F900-20-2392-(AR 4.3)"</f>
        <v>F900-20-2392-(AR 4.3)</v>
      </c>
      <c r="E3242" s="3" t="str">
        <f>"Who is Wayne Gretzky?"</f>
        <v>Who is Wayne Gretzky?</v>
      </c>
      <c r="F3242" s="3" t="str">
        <f>"by Gail Herman ; illustrated by Ted Hammond"</f>
        <v>by Gail Herman ; illustrated by Ted Hammond</v>
      </c>
      <c r="G3242" s="3" t="str">
        <f>"Penguin Workshop"</f>
        <v>Penguin Workshop</v>
      </c>
      <c r="H3242" s="2" t="str">
        <f>"2015"</f>
        <v>2015</v>
      </c>
      <c r="I3242" s="3" t="str">
        <f>""</f>
        <v/>
      </c>
    </row>
    <row r="3243" spans="1:9" x14ac:dyDescent="0.3">
      <c r="A3243" s="2">
        <v>3242</v>
      </c>
      <c r="B3243" s="4" t="s">
        <v>44</v>
      </c>
      <c r="C3243" s="3" t="str">
        <f>"TFC000002156"</f>
        <v>TFC000002156</v>
      </c>
      <c r="D3243" s="3" t="str">
        <f>"F900-20-2393-(AR 4.3)"</f>
        <v>F900-20-2393-(AR 4.3)</v>
      </c>
      <c r="E3243" s="3" t="str">
        <f>"Baseball's greatest hitters"</f>
        <v>Baseball's greatest hitters</v>
      </c>
      <c r="F3243" s="3" t="str">
        <f>"by S. A. Kramer ; illustrated by Jim Campbell"</f>
        <v>by S. A. Kramer ; illustrated by Jim Campbell</v>
      </c>
      <c r="G3243" s="3" t="str">
        <f>"Random House"</f>
        <v>Random House</v>
      </c>
      <c r="H3243" s="2" t="str">
        <f>"2009"</f>
        <v>2009</v>
      </c>
      <c r="I3243" s="3" t="str">
        <f>""</f>
        <v/>
      </c>
    </row>
    <row r="3244" spans="1:9" x14ac:dyDescent="0.3">
      <c r="A3244" s="2">
        <v>3243</v>
      </c>
      <c r="B3244" s="4" t="s">
        <v>44</v>
      </c>
      <c r="C3244" s="3" t="str">
        <f>"TFC000003123"</f>
        <v>TFC000003123</v>
      </c>
      <c r="D3244" s="3" t="str">
        <f>"F800-22-0097-(AR 4.3)"</f>
        <v>F800-22-0097-(AR 4.3)</v>
      </c>
      <c r="E3244" s="3" t="str">
        <f>"Kitty and the tiger treasure"</f>
        <v>Kitty and the tiger treasure</v>
      </c>
      <c r="F3244" s="3" t="str">
        <f>"written by Paula Harrison ; illustrated by Jenny Løvlie"</f>
        <v>written by Paula Harrison ; illustrated by Jenny Løvlie</v>
      </c>
      <c r="G3244" s="3" t="str">
        <f>"Oxford University Press"</f>
        <v>Oxford University Press</v>
      </c>
      <c r="H3244" s="2" t="str">
        <f>"2019"</f>
        <v>2019</v>
      </c>
      <c r="I3244" s="3" t="str">
        <f>""</f>
        <v/>
      </c>
    </row>
    <row r="3245" spans="1:9" x14ac:dyDescent="0.3">
      <c r="A3245" s="2">
        <v>3244</v>
      </c>
      <c r="B3245" s="4" t="s">
        <v>44</v>
      </c>
      <c r="C3245" s="3" t="str">
        <f>"TFC000003188"</f>
        <v>TFC000003188</v>
      </c>
      <c r="D3245" s="3" t="str">
        <f>"F800-21-0789-(AR 4.3)"</f>
        <v>F800-21-0789-(AR 4.3)</v>
      </c>
      <c r="E3245" s="3" t="str">
        <f>"Project mulberry"</f>
        <v>Project mulberry</v>
      </c>
      <c r="F3245" s="3" t="str">
        <f>"a novel by Linda Sue Park"</f>
        <v>a novel by Linda Sue Park</v>
      </c>
      <c r="G3245" s="3" t="str">
        <f>"Houghton Mifflin Harcourt"</f>
        <v>Houghton Mifflin Harcourt</v>
      </c>
      <c r="H3245" s="2" t="str">
        <f>"2017"</f>
        <v>2017</v>
      </c>
      <c r="I3245" s="3" t="str">
        <f>""</f>
        <v/>
      </c>
    </row>
    <row r="3246" spans="1:9" x14ac:dyDescent="0.3">
      <c r="A3246" s="2">
        <v>3245</v>
      </c>
      <c r="B3246" s="4" t="s">
        <v>44</v>
      </c>
      <c r="C3246" s="3" t="str">
        <f>"TFC000003262"</f>
        <v>TFC000003262</v>
      </c>
      <c r="D3246" s="3" t="str">
        <f>"F400-21-0774-(AR 4.3)"</f>
        <v>F400-21-0774-(AR 4.3)</v>
      </c>
      <c r="E3246" s="3" t="str">
        <f>"Explores the senses"</f>
        <v>Explores the senses</v>
      </c>
      <c r="F3246" s="3" t="str">
        <f>"by Joanna Cole ; illustrated by Bruce Degen"</f>
        <v>by Joanna Cole ; illustrated by Bruce Degen</v>
      </c>
      <c r="G3246" s="3" t="str">
        <f>"Scholastic"</f>
        <v>Scholastic</v>
      </c>
      <c r="H3246" s="2" t="str">
        <f>"2010"</f>
        <v>2010</v>
      </c>
      <c r="I3246" s="3" t="str">
        <f>""</f>
        <v/>
      </c>
    </row>
    <row r="3247" spans="1:9" x14ac:dyDescent="0.3">
      <c r="A3247" s="2">
        <v>3246</v>
      </c>
      <c r="B3247" s="4" t="s">
        <v>44</v>
      </c>
      <c r="C3247" s="3" t="str">
        <f>"TFC000003396"</f>
        <v>TFC000003396</v>
      </c>
      <c r="D3247" s="3" t="str">
        <f>"F500-21-0775-(AR 4.3)"</f>
        <v>F500-21-0775-(AR 4.3)</v>
      </c>
      <c r="E3247" s="3" t="str">
        <f>"Who are the COVID-19 helpers?"</f>
        <v>Who are the COVID-19 helpers?</v>
      </c>
      <c r="F3247" s="3" t="str">
        <f>"by Sara Latta"</f>
        <v>by Sara Latta</v>
      </c>
      <c r="G3247" s="3" t="str">
        <f>"The Child's World"</f>
        <v>The Child's World</v>
      </c>
      <c r="H3247" s="2" t="str">
        <f>"2021"</f>
        <v>2021</v>
      </c>
      <c r="I3247" s="3" t="str">
        <f>""</f>
        <v/>
      </c>
    </row>
    <row r="3248" spans="1:9" x14ac:dyDescent="0.3">
      <c r="A3248" s="2">
        <v>3247</v>
      </c>
      <c r="B3248" s="4" t="s">
        <v>44</v>
      </c>
      <c r="C3248" s="3" t="str">
        <f>"TFC000003443"</f>
        <v>TFC000003443</v>
      </c>
      <c r="D3248" s="3" t="str">
        <f>"F800-21-0776-(AR 4.3)"</f>
        <v>F800-21-0776-(AR 4.3)</v>
      </c>
      <c r="E3248" s="3" t="str">
        <f>"(A)giant problem"</f>
        <v>(A)giant problem</v>
      </c>
      <c r="F3248" s="3" t="str">
        <f>"Tony DiTerlizzi and Holly Black"</f>
        <v>Tony DiTerlizzi and Holly Black</v>
      </c>
      <c r="G3248" s="3" t="str">
        <f>"Simon &amp; Schuster"</f>
        <v>Simon &amp; Schuster</v>
      </c>
      <c r="H3248" s="2" t="str">
        <f>"2008"</f>
        <v>2008</v>
      </c>
      <c r="I3248" s="3" t="str">
        <f>""</f>
        <v/>
      </c>
    </row>
    <row r="3249" spans="1:9" x14ac:dyDescent="0.3">
      <c r="A3249" s="2">
        <v>3248</v>
      </c>
      <c r="B3249" s="4" t="s">
        <v>44</v>
      </c>
      <c r="C3249" s="3" t="str">
        <f>"TFC000003523"</f>
        <v>TFC000003523</v>
      </c>
      <c r="D3249" s="3" t="str">
        <f>"F800-21-0777-(AR 4.3)"</f>
        <v>F800-21-0777-(AR 4.3)</v>
      </c>
      <c r="E3249" s="3" t="str">
        <f>"(The)song of the moon"</f>
        <v>(The)song of the moon</v>
      </c>
      <c r="F3249" s="3" t="str">
        <f>"text by Danielle Star ; translated by Chris Turner"</f>
        <v>text by Danielle Star ; translated by Chris Turner</v>
      </c>
      <c r="G3249" s="3" t="str">
        <f>"Scholastic Inc"</f>
        <v>Scholastic Inc</v>
      </c>
      <c r="H3249" s="2" t="str">
        <f>"2018"</f>
        <v>2018</v>
      </c>
      <c r="I3249" s="3" t="str">
        <f>""</f>
        <v/>
      </c>
    </row>
    <row r="3250" spans="1:9" x14ac:dyDescent="0.3">
      <c r="A3250" s="2">
        <v>3249</v>
      </c>
      <c r="B3250" s="4" t="s">
        <v>44</v>
      </c>
      <c r="C3250" s="3" t="str">
        <f>"TFC000003524"</f>
        <v>TFC000003524</v>
      </c>
      <c r="D3250" s="3" t="str">
        <f>"F800-21-0778-(AR 4.3)"</f>
        <v>F800-21-0778-(AR 4.3)</v>
      </c>
      <c r="E3250" s="3" t="str">
        <f>"(The)surprise visit"</f>
        <v>(The)surprise visit</v>
      </c>
      <c r="F3250" s="3" t="str">
        <f>"text by Danielle Star ; translated by Chris Turner"</f>
        <v>text by Danielle Star ; translated by Chris Turner</v>
      </c>
      <c r="G3250" s="3" t="str">
        <f>"Scholastic Inc"</f>
        <v>Scholastic Inc</v>
      </c>
      <c r="H3250" s="2" t="str">
        <f>"2018"</f>
        <v>2018</v>
      </c>
      <c r="I3250" s="3" t="str">
        <f>""</f>
        <v/>
      </c>
    </row>
    <row r="3251" spans="1:9" x14ac:dyDescent="0.3">
      <c r="A3251" s="2">
        <v>3250</v>
      </c>
      <c r="B3251" s="4" t="s">
        <v>44</v>
      </c>
      <c r="C3251" s="3" t="str">
        <f>"TFC000003589"</f>
        <v>TFC000003589</v>
      </c>
      <c r="D3251" s="3" t="str">
        <f>"F800-21-0779-(AR 4.3)"</f>
        <v>F800-21-0779-(AR 4.3)</v>
      </c>
      <c r="E3251" s="3" t="str">
        <f>"(The)spiderwick chronicles. 4, The ironwood tree"</f>
        <v>(The)spiderwick chronicles. 4, The ironwood tree</v>
      </c>
      <c r="F3251" s="3" t="str">
        <f>"by Tony DiTerlizzi and Holly Black"</f>
        <v>by Tony DiTerlizzi and Holly Black</v>
      </c>
      <c r="G3251" s="3" t="str">
        <f>"Simon and Schuster Books for Young Readers"</f>
        <v>Simon and Schuster Books for Young Readers</v>
      </c>
      <c r="H3251" s="2" t="str">
        <f>"2013"</f>
        <v>2013</v>
      </c>
      <c r="I3251" s="3" t="str">
        <f>""</f>
        <v/>
      </c>
    </row>
    <row r="3252" spans="1:9" x14ac:dyDescent="0.3">
      <c r="A3252" s="2">
        <v>3251</v>
      </c>
      <c r="B3252" s="4" t="s">
        <v>44</v>
      </c>
      <c r="C3252" s="3" t="str">
        <f>"TFC000003655"</f>
        <v>TFC000003655</v>
      </c>
      <c r="D3252" s="3" t="str">
        <f>"F800-21-0978-(AR 4.3)"</f>
        <v>F800-21-0978-(AR 4.3)</v>
      </c>
      <c r="E3252" s="3" t="str">
        <f>"(The)world's worst teachers"</f>
        <v>(The)world's worst teachers</v>
      </c>
      <c r="F3252" s="3" t="str">
        <f>"by David Walliams ; illustrated in glorious colour by Tony Ross"</f>
        <v>by David Walliams ; illustrated in glorious colour by Tony Ross</v>
      </c>
      <c r="G3252" s="3" t="str">
        <f>"HarperCollins Children's Books"</f>
        <v>HarperCollins Children's Books</v>
      </c>
      <c r="H3252" s="2" t="str">
        <f>"2019"</f>
        <v>2019</v>
      </c>
      <c r="I3252" s="3" t="str">
        <f>""</f>
        <v/>
      </c>
    </row>
    <row r="3253" spans="1:9" x14ac:dyDescent="0.3">
      <c r="A3253" s="2">
        <v>3252</v>
      </c>
      <c r="B3253" s="4" t="s">
        <v>44</v>
      </c>
      <c r="C3253" s="3" t="str">
        <f>"TFC000003890"</f>
        <v>TFC000003890</v>
      </c>
      <c r="D3253" s="3" t="str">
        <f>"F800-21-0782-(AR 4.3)"</f>
        <v>F800-21-0782-(AR 4.3)</v>
      </c>
      <c r="E3253" s="3" t="str">
        <f>"(The)Blossoming universe of Violet Diamond"</f>
        <v>(The)Blossoming universe of Violet Diamond</v>
      </c>
      <c r="F3253" s="3" t="str">
        <f>"by Brenda Woods"</f>
        <v>by Brenda Woods</v>
      </c>
      <c r="G3253" s="3" t="str">
        <f>"Puffin Books"</f>
        <v>Puffin Books</v>
      </c>
      <c r="H3253" s="2" t="str">
        <f>"c2015"</f>
        <v>c2015</v>
      </c>
      <c r="I3253" s="3" t="str">
        <f>""</f>
        <v/>
      </c>
    </row>
    <row r="3254" spans="1:9" x14ac:dyDescent="0.3">
      <c r="A3254" s="2">
        <v>3253</v>
      </c>
      <c r="B3254" s="4" t="s">
        <v>44</v>
      </c>
      <c r="C3254" s="3" t="str">
        <f>"TFC000003892"</f>
        <v>TFC000003892</v>
      </c>
      <c r="D3254" s="3" t="str">
        <f>"F800-21-0783-(AR 4.3)"</f>
        <v>F800-21-0783-(AR 4.3)</v>
      </c>
      <c r="E3254" s="3" t="str">
        <f>"(The)Million Dollar Race"</f>
        <v>(The)Million Dollar Race</v>
      </c>
      <c r="F3254" s="3" t="str">
        <f>"by Matthew Ross Smith"</f>
        <v>by Matthew Ross Smith</v>
      </c>
      <c r="G3254" s="3" t="str">
        <f>"Aladdin"</f>
        <v>Aladdin</v>
      </c>
      <c r="H3254" s="2" t="str">
        <f>"2021"</f>
        <v>2021</v>
      </c>
      <c r="I3254" s="3" t="str">
        <f>""</f>
        <v/>
      </c>
    </row>
    <row r="3255" spans="1:9" x14ac:dyDescent="0.3">
      <c r="A3255" s="2">
        <v>3254</v>
      </c>
      <c r="B3255" s="4" t="s">
        <v>44</v>
      </c>
      <c r="C3255" s="3" t="str">
        <f>"TFC000004074"</f>
        <v>TFC000004074</v>
      </c>
      <c r="D3255" s="3" t="str">
        <f>"F800-21-0785-(AR 4.3)"</f>
        <v>F800-21-0785-(AR 4.3)</v>
      </c>
      <c r="E3255" s="3" t="str">
        <f>"Stingers, A Sharks Incorporated Novel"</f>
        <v>Stingers, A Sharks Incorporated Novel</v>
      </c>
      <c r="F3255" s="3" t="str">
        <f>"by Randy Wayne White"</f>
        <v>by Randy Wayne White</v>
      </c>
      <c r="G3255" s="3" t="str">
        <f>"Roaring Brook Press"</f>
        <v>Roaring Brook Press</v>
      </c>
      <c r="H3255" s="2" t="str">
        <f>"2021"</f>
        <v>2021</v>
      </c>
      <c r="I3255" s="3" t="str">
        <f>""</f>
        <v/>
      </c>
    </row>
    <row r="3256" spans="1:9" x14ac:dyDescent="0.3">
      <c r="A3256" s="2">
        <v>3255</v>
      </c>
      <c r="B3256" s="4" t="s">
        <v>44</v>
      </c>
      <c r="C3256" s="3" t="str">
        <f>"TFC000004075"</f>
        <v>TFC000004075</v>
      </c>
      <c r="D3256" s="3" t="str">
        <f>"F800-21-0786-(AR 4.3)"</f>
        <v>F800-21-0786-(AR 4.3)</v>
      </c>
      <c r="E3256" s="3" t="str">
        <f>"All pets allowed"</f>
        <v>All pets allowed</v>
      </c>
      <c r="F3256" s="3" t="str">
        <f>"by Adele Griffin, pictures by LeUyen Pham"</f>
        <v>by Adele Griffin, pictures by LeUyen Pham</v>
      </c>
      <c r="G3256" s="3" t="str">
        <f>"Algonquin Young Readers"</f>
        <v>Algonquin Young Readers</v>
      </c>
      <c r="H3256" s="2" t="str">
        <f>"2021"</f>
        <v>2021</v>
      </c>
      <c r="I3256" s="3" t="str">
        <f>""</f>
        <v/>
      </c>
    </row>
    <row r="3257" spans="1:9" x14ac:dyDescent="0.3">
      <c r="A3257" s="2">
        <v>3256</v>
      </c>
      <c r="B3257" s="4" t="s">
        <v>44</v>
      </c>
      <c r="C3257" s="3" t="str">
        <f>"TFC000004076"</f>
        <v>TFC000004076</v>
      </c>
      <c r="D3257" s="3" t="str">
        <f>"F900-21-0790-(AR 4.3)"</f>
        <v>F900-21-0790-(AR 4.3)</v>
      </c>
      <c r="E3257" s="3" t="str">
        <f>"Chadwick Boseman : Acting Super"</f>
        <v>Chadwick Boseman : Acting Super</v>
      </c>
      <c r="F3257" s="3" t="str">
        <f>"by Megan Borgert-spaniol"</f>
        <v>by Megan Borgert-spaniol</v>
      </c>
      <c r="G3257" s="3" t="str">
        <f>"Abdo"</f>
        <v>Abdo</v>
      </c>
      <c r="H3257" s="2" t="str">
        <f>"2021"</f>
        <v>2021</v>
      </c>
      <c r="I3257" s="3" t="str">
        <f>""</f>
        <v/>
      </c>
    </row>
    <row r="3258" spans="1:9" x14ac:dyDescent="0.3">
      <c r="A3258" s="2">
        <v>3257</v>
      </c>
      <c r="B3258" s="4" t="s">
        <v>44</v>
      </c>
      <c r="C3258" s="3" t="str">
        <f>"TFC000004196"</f>
        <v>TFC000004196</v>
      </c>
      <c r="D3258" s="3" t="str">
        <f>"F800-21-0788-(AR 4.3)"</f>
        <v>F800-21-0788-(AR 4.3)</v>
      </c>
      <c r="E3258" s="3" t="str">
        <f>"P.S. I Still Love You"</f>
        <v>P.S. I Still Love You</v>
      </c>
      <c r="F3258" s="3" t="str">
        <f>"by Jenny Han"</f>
        <v>by Jenny Han</v>
      </c>
      <c r="G3258" s="3" t="str">
        <f>"Simon &amp; Schuster"</f>
        <v>Simon &amp; Schuster</v>
      </c>
      <c r="H3258" s="2" t="str">
        <f>"2015"</f>
        <v>2015</v>
      </c>
      <c r="I3258" s="3" t="str">
        <f>""</f>
        <v/>
      </c>
    </row>
    <row r="3259" spans="1:9" x14ac:dyDescent="0.3">
      <c r="A3259" s="2">
        <v>3258</v>
      </c>
      <c r="B3259" s="4" t="s">
        <v>44</v>
      </c>
      <c r="C3259" s="3" t="str">
        <f>"TFC000004202"</f>
        <v>TFC000004202</v>
      </c>
      <c r="D3259" s="3" t="str">
        <f>"F800-22-0092-(AR 4.3)"</f>
        <v>F800-22-0092-(AR 4.3)</v>
      </c>
      <c r="E3259" s="3" t="str">
        <f>"Kitty and the treetop chase"</f>
        <v>Kitty and the treetop chase</v>
      </c>
      <c r="F3259" s="3" t="str">
        <f>"Written by Paula Harrison, illustrated by Jenny Lovlie"</f>
        <v>Written by Paula Harrison, illustrated by Jenny Lovlie</v>
      </c>
      <c r="G3259" s="3" t="str">
        <f>"Greenwillow"</f>
        <v>Greenwillow</v>
      </c>
      <c r="H3259" s="2" t="str">
        <f>"2020"</f>
        <v>2020</v>
      </c>
      <c r="I3259" s="3" t="str">
        <f>""</f>
        <v/>
      </c>
    </row>
    <row r="3260" spans="1:9" x14ac:dyDescent="0.3">
      <c r="A3260" s="2">
        <v>3259</v>
      </c>
      <c r="B3260" s="4" t="s">
        <v>44</v>
      </c>
      <c r="C3260" s="3" t="str">
        <f>"TFC000004233"</f>
        <v>TFC000004233</v>
      </c>
      <c r="D3260" s="3" t="str">
        <f>"F800-22-0068-(AR 4.3)=2"</f>
        <v>F800-22-0068-(AR 4.3)=2</v>
      </c>
      <c r="E3260" s="3" t="str">
        <f>"(The)26-story treehouse"</f>
        <v>(The)26-story treehouse</v>
      </c>
      <c r="F3260" s="3" t="str">
        <f>"by Andy Griffiths, illustrated by Terry Denton"</f>
        <v>by Andy Griffiths, illustrated by Terry Denton</v>
      </c>
      <c r="G3260" s="3" t="str">
        <f>"Feiwel and Friends"</f>
        <v>Feiwel and Friends</v>
      </c>
      <c r="H3260" s="2" t="str">
        <f>"2014"</f>
        <v>2014</v>
      </c>
      <c r="I3260" s="3" t="str">
        <f>""</f>
        <v/>
      </c>
    </row>
    <row r="3261" spans="1:9" x14ac:dyDescent="0.3">
      <c r="A3261" s="2">
        <v>3260</v>
      </c>
      <c r="B3261" s="4" t="s">
        <v>44</v>
      </c>
      <c r="C3261" s="3" t="str">
        <f>"TFC000004688"</f>
        <v>TFC000004688</v>
      </c>
      <c r="D3261" s="3" t="str">
        <f>"F800-22-0497-(AR4.3)"</f>
        <v>F800-22-0497-(AR4.3)</v>
      </c>
      <c r="E3261" s="3" t="str">
        <f>"Reckless, Glorious, Girl"</f>
        <v>Reckless, Glorious, Girl</v>
      </c>
      <c r="F3261" s="3" t="str">
        <f>"by Ellen Hagan"</f>
        <v>by Ellen Hagan</v>
      </c>
      <c r="G3261" s="3" t="str">
        <f>"Blooms Publishing PLC"</f>
        <v>Blooms Publishing PLC</v>
      </c>
      <c r="H3261" s="2" t="str">
        <f>"2021"</f>
        <v>2021</v>
      </c>
      <c r="I3261" s="3" t="str">
        <f>""</f>
        <v/>
      </c>
    </row>
    <row r="3262" spans="1:9" x14ac:dyDescent="0.3">
      <c r="A3262" s="2">
        <v>3261</v>
      </c>
      <c r="B3262" s="4" t="s">
        <v>44</v>
      </c>
      <c r="C3262" s="3" t="str">
        <f>"TFC000004500"</f>
        <v>TFC000004500</v>
      </c>
      <c r="D3262" s="3" t="str">
        <f>"F400-22-0309-(AR4.3)"</f>
        <v>F400-22-0309-(AR4.3)</v>
      </c>
      <c r="E3262" s="3" t="str">
        <f>"Animal Architects"</f>
        <v>Animal Architects</v>
      </c>
      <c r="F3262" s="3" t="str">
        <f>"written by Amy Cherrix, illustrated by Chris Sasaki"</f>
        <v>written by Amy Cherrix, illustrated by Chris Sasaki</v>
      </c>
      <c r="G3262" s="3" t="str">
        <f>"Beach Lane Books"</f>
        <v>Beach Lane Books</v>
      </c>
      <c r="H3262" s="2" t="str">
        <f>"2021"</f>
        <v>2021</v>
      </c>
      <c r="I3262" s="3" t="str">
        <f>""</f>
        <v/>
      </c>
    </row>
    <row r="3263" spans="1:9" x14ac:dyDescent="0.3">
      <c r="A3263" s="2">
        <v>3262</v>
      </c>
      <c r="B3263" s="4" t="s">
        <v>44</v>
      </c>
      <c r="C3263" s="3" t="str">
        <f>"TFC000004501"</f>
        <v>TFC000004501</v>
      </c>
      <c r="D3263" s="3" t="str">
        <f>"F800-22-0310-(AR4.3)"</f>
        <v>F800-22-0310-(AR4.3)</v>
      </c>
      <c r="E3263" s="3" t="str">
        <f>"Filigree's Midnight Ride"</f>
        <v>Filigree's Midnight Ride</v>
      </c>
      <c r="F3263" s="3" t="str">
        <f>"by Pam Berkman, Dorothy Hearst, illustrated by Claire Powell"</f>
        <v>by Pam Berkman, Dorothy Hearst, illustrated by Claire Powell</v>
      </c>
      <c r="G3263" s="3" t="str">
        <f>"Margaret K McElderry"</f>
        <v>Margaret K McElderry</v>
      </c>
      <c r="H3263" s="2" t="str">
        <f>"2019"</f>
        <v>2019</v>
      </c>
      <c r="I3263" s="3" t="str">
        <f>""</f>
        <v/>
      </c>
    </row>
    <row r="3264" spans="1:9" x14ac:dyDescent="0.3">
      <c r="A3264" s="2">
        <v>3263</v>
      </c>
      <c r="B3264" s="4" t="s">
        <v>44</v>
      </c>
      <c r="C3264" s="3" t="str">
        <f>"TFC000004502"</f>
        <v>TFC000004502</v>
      </c>
      <c r="D3264" s="3" t="str">
        <f>"F800-22-0311-(AR4.3)"</f>
        <v>F800-22-0311-(AR4.3)</v>
      </c>
      <c r="E3264" s="3" t="str">
        <f>"Miss Mingo and the 100th Day of School"</f>
        <v>Miss Mingo and the 100th Day of School</v>
      </c>
      <c r="F3264" s="3" t="str">
        <f>"by Jamie Harper"</f>
        <v>by Jamie Harper</v>
      </c>
      <c r="G3264" s="3" t="str">
        <f>"Candlewick Press"</f>
        <v>Candlewick Press</v>
      </c>
      <c r="H3264" s="2" t="str">
        <f>"2020"</f>
        <v>2020</v>
      </c>
      <c r="I3264" s="3" t="str">
        <f>""</f>
        <v/>
      </c>
    </row>
    <row r="3265" spans="1:9" x14ac:dyDescent="0.3">
      <c r="A3265" s="2">
        <v>3264</v>
      </c>
      <c r="B3265" s="4" t="s">
        <v>44</v>
      </c>
      <c r="C3265" s="3" t="str">
        <f>"TFC000004503"</f>
        <v>TFC000004503</v>
      </c>
      <c r="D3265" s="3" t="str">
        <f>"F900-22-0312-(AR4.3)"</f>
        <v>F900-22-0312-(AR4.3)</v>
      </c>
      <c r="E3265" s="3" t="str">
        <f>"Saving American Beach : the biography of African American environmentalist MaVynee Betsch"</f>
        <v>Saving American Beach : the biography of African American environmentalist MaVynee Betsch</v>
      </c>
      <c r="F3265" s="3" t="str">
        <f>"by Heidi Tyline King, illustrated by Ekua Holmes"</f>
        <v>by Heidi Tyline King, illustrated by Ekua Holmes</v>
      </c>
      <c r="G3265" s="3" t="str">
        <f>"G.P. Putnam's Sons"</f>
        <v>G.P. Putnam's Sons</v>
      </c>
      <c r="H3265" s="2" t="str">
        <f>"2021"</f>
        <v>2021</v>
      </c>
      <c r="I3265" s="3" t="str">
        <f>""</f>
        <v/>
      </c>
    </row>
    <row r="3266" spans="1:9" x14ac:dyDescent="0.3">
      <c r="A3266" s="2">
        <v>3265</v>
      </c>
      <c r="B3266" s="4" t="s">
        <v>44</v>
      </c>
      <c r="C3266" s="3" t="str">
        <f>"TFC000004538"</f>
        <v>TFC000004538</v>
      </c>
      <c r="D3266" s="3" t="str">
        <f>"F800-22-0347-(AR4.3)"</f>
        <v>F800-22-0347-(AR4.3)</v>
      </c>
      <c r="E3266" s="3" t="str">
        <f>"Double Clique"</f>
        <v>Double Clique</v>
      </c>
      <c r="F3266" s="3" t="str">
        <f>"by Anna Staniszewski"</f>
        <v>by Anna Staniszewski</v>
      </c>
      <c r="G3266" s="3" t="str">
        <f>"Scholastic Inc"</f>
        <v>Scholastic Inc</v>
      </c>
      <c r="H3266" s="2" t="str">
        <f>"2021"</f>
        <v>2021</v>
      </c>
      <c r="I3266" s="3" t="str">
        <f>""</f>
        <v/>
      </c>
    </row>
    <row r="3267" spans="1:9" x14ac:dyDescent="0.3">
      <c r="A3267" s="2">
        <v>3266</v>
      </c>
      <c r="B3267" s="4" t="s">
        <v>44</v>
      </c>
      <c r="C3267" s="3" t="str">
        <f>"TFC000004539"</f>
        <v>TFC000004539</v>
      </c>
      <c r="D3267" s="3" t="str">
        <f>"F800-22-0348-(AR4.3)"</f>
        <v>F800-22-0348-(AR4.3)</v>
      </c>
      <c r="E3267" s="3" t="str">
        <f>"(The)Girl who stole an elephant"</f>
        <v>(The)Girl who stole an elephant</v>
      </c>
      <c r="F3267" s="3" t="str">
        <f>"by Nizrana Farook"</f>
        <v>by Nizrana Farook</v>
      </c>
      <c r="G3267" s="3" t="str">
        <f>"Peachtree"</f>
        <v>Peachtree</v>
      </c>
      <c r="H3267" s="2" t="str">
        <f>"2021"</f>
        <v>2021</v>
      </c>
      <c r="I3267" s="3" t="str">
        <f>""</f>
        <v/>
      </c>
    </row>
    <row r="3268" spans="1:9" x14ac:dyDescent="0.3">
      <c r="A3268" s="2">
        <v>3267</v>
      </c>
      <c r="B3268" s="4" t="s">
        <v>44</v>
      </c>
      <c r="C3268" s="3" t="str">
        <f>"TFC000004540"</f>
        <v>TFC000004540</v>
      </c>
      <c r="D3268" s="3" t="str">
        <f>"F800-22-0349-(AR4.3)"</f>
        <v>F800-22-0349-(AR4.3)</v>
      </c>
      <c r="E3268" s="3" t="str">
        <f>"Liars's Room"</f>
        <v>Liars's Room</v>
      </c>
      <c r="F3268" s="3" t="str">
        <f>"by Dan Poblocki"</f>
        <v>by Dan Poblocki</v>
      </c>
      <c r="G3268" s="3" t="str">
        <f>"Scholactic Press"</f>
        <v>Scholactic Press</v>
      </c>
      <c r="H3268" s="2" t="str">
        <f>"2021"</f>
        <v>2021</v>
      </c>
      <c r="I3268" s="3" t="str">
        <f>""</f>
        <v/>
      </c>
    </row>
    <row r="3269" spans="1:9" x14ac:dyDescent="0.3">
      <c r="A3269" s="2">
        <v>3268</v>
      </c>
      <c r="B3269" s="4" t="s">
        <v>44</v>
      </c>
      <c r="C3269" s="3" t="str">
        <f>"TFC000004886"</f>
        <v>TFC000004886</v>
      </c>
      <c r="D3269" s="3" t="str">
        <f>"F800-22-0616-(AR4.3)"</f>
        <v>F800-22-0616-(AR4.3)</v>
      </c>
      <c r="E3269" s="3" t="str">
        <f>"Ali Cross, Like Father, Like Son"</f>
        <v>Ali Cross, Like Father, Like Son</v>
      </c>
      <c r="F3269" s="3" t="str">
        <f>"by Patterson James"</f>
        <v>by Patterson James</v>
      </c>
      <c r="G3269" s="3" t="str">
        <f>"Jimmy Patterson"</f>
        <v>Jimmy Patterson</v>
      </c>
      <c r="H3269" s="2" t="str">
        <f>"2021"</f>
        <v>2021</v>
      </c>
      <c r="I3269" s="3" t="str">
        <f>""</f>
        <v/>
      </c>
    </row>
    <row r="3270" spans="1:9" x14ac:dyDescent="0.3">
      <c r="A3270" s="2">
        <v>3269</v>
      </c>
      <c r="B3270" s="4" t="s">
        <v>44</v>
      </c>
      <c r="C3270" s="3" t="str">
        <f>"TFC000002157"</f>
        <v>TFC000002157</v>
      </c>
      <c r="D3270" s="3" t="str">
        <f>"F900-20-2396-[12](AR 4.3)=2"</f>
        <v>F900-20-2396-[12](AR 4.3)=2</v>
      </c>
      <c r="E3270" s="3" t="str">
        <f>"Jane Austen"</f>
        <v>Jane Austen</v>
      </c>
      <c r="F3270" s="3" t="str">
        <f>"written by Mª Isabel Sanchez Vegara ; illustrated by Katie Wilson"</f>
        <v>written by Mª Isabel Sanchez Vegara ; illustrated by Katie Wilson</v>
      </c>
      <c r="G3270" s="3" t="str">
        <f>"Lincoln Children's Books"</f>
        <v>Lincoln Children's Books</v>
      </c>
      <c r="H3270" s="2" t="str">
        <f>"2018"</f>
        <v>2018</v>
      </c>
      <c r="I3270" s="3" t="str">
        <f>""</f>
        <v/>
      </c>
    </row>
    <row r="3271" spans="1:9" x14ac:dyDescent="0.3">
      <c r="A3271" s="2">
        <v>3270</v>
      </c>
      <c r="B3271" s="4" t="s">
        <v>44</v>
      </c>
      <c r="C3271" s="3" t="str">
        <f>"TFC000003122"</f>
        <v>TFC000003122</v>
      </c>
      <c r="D3271" s="3" t="str">
        <f>"F900-20-2394-[12](AR 4.3)"</f>
        <v>F900-20-2394-[12](AR 4.3)</v>
      </c>
      <c r="E3271" s="3" t="str">
        <f>"Jane Austen"</f>
        <v>Jane Austen</v>
      </c>
      <c r="F3271" s="3" t="str">
        <f>"written by Ma Isabel Sanchez Vegara ; illustrated by Katie Wilson"</f>
        <v>written by Ma Isabel Sanchez Vegara ; illustrated by Katie Wilson</v>
      </c>
      <c r="G3271" s="3" t="str">
        <f>"Lincoln Childrens Books"</f>
        <v>Lincoln Childrens Books</v>
      </c>
      <c r="H3271" s="2" t="str">
        <f>"2018"</f>
        <v>2018</v>
      </c>
      <c r="I3271" s="3" t="str">
        <f>""</f>
        <v/>
      </c>
    </row>
    <row r="3272" spans="1:9" x14ac:dyDescent="0.3">
      <c r="A3272" s="2">
        <v>3271</v>
      </c>
      <c r="B3272" s="4">
        <v>4.3</v>
      </c>
      <c r="C3272" s="3" t="str">
        <f>"TFC000004711"</f>
        <v>TFC000004711</v>
      </c>
      <c r="D3272" s="3" t="str">
        <f>"F800-22-0519-2(AR 4.3)"</f>
        <v>F800-22-0519-2(AR 4.3)</v>
      </c>
      <c r="E3272" s="3" t="str">
        <f>"(The)26-Storey Treehouse"</f>
        <v>(The)26-Storey Treehouse</v>
      </c>
      <c r="F3272" s="3" t="str">
        <f>"by Andy Griffiths, illustrated by Terry Denton"</f>
        <v>by Andy Griffiths, illustrated by Terry Denton</v>
      </c>
      <c r="G3272" s="3" t="str">
        <f>"Pan MacMillan"</f>
        <v>Pan MacMillan</v>
      </c>
      <c r="H3272" s="2" t="str">
        <f>"2015"</f>
        <v>2015</v>
      </c>
      <c r="I3272" s="3" t="str">
        <f>""</f>
        <v/>
      </c>
    </row>
    <row r="3273" spans="1:9" x14ac:dyDescent="0.3">
      <c r="A3273" s="2">
        <v>3272</v>
      </c>
      <c r="B3273" s="4">
        <v>4.3</v>
      </c>
      <c r="C3273" s="3" t="str">
        <f>"TFC000004077"</f>
        <v>TFC000004077</v>
      </c>
      <c r="D3273" s="3" t="str">
        <f>"F800-21-0787-4(AR 4.3)"</f>
        <v>F800-21-0787-4(AR 4.3)</v>
      </c>
      <c r="E3273" s="3" t="str">
        <f>"Big foot and little foot. 4, The bog beast"</f>
        <v>Big foot and little foot. 4, The bog beast</v>
      </c>
      <c r="F3273" s="3" t="str">
        <f>"by Ellen Potter, art by Felicita Sala"</f>
        <v>by Ellen Potter, art by Felicita Sala</v>
      </c>
      <c r="G3273" s="3" t="str">
        <f>"Amulet Books"</f>
        <v>Amulet Books</v>
      </c>
      <c r="H3273" s="2" t="str">
        <f>"2021"</f>
        <v>2021</v>
      </c>
      <c r="I3273" s="3" t="str">
        <f>""</f>
        <v/>
      </c>
    </row>
    <row r="3274" spans="1:9" x14ac:dyDescent="0.3">
      <c r="A3274" s="2">
        <v>3273</v>
      </c>
      <c r="B3274" s="4">
        <v>4.3</v>
      </c>
      <c r="C3274" s="3" t="str">
        <f>"TFC000004014"</f>
        <v>TFC000004014</v>
      </c>
      <c r="D3274" s="3" t="str">
        <f>"F800-21-0784-7(AR 4.3)"</f>
        <v>F800-21-0784-7(AR 4.3)</v>
      </c>
      <c r="E3274" s="3" t="str">
        <f>"Dragon breath. #7, When fairies go bad"</f>
        <v>Dragon breath. #7, When fairies go bad</v>
      </c>
      <c r="F3274" s="3" t="str">
        <f>"by Ursula Vernon"</f>
        <v>by Ursula Vernon</v>
      </c>
      <c r="G3274" s="3" t="str">
        <f>"Dial books"</f>
        <v>Dial books</v>
      </c>
      <c r="H3274" s="2" t="str">
        <f>"2012"</f>
        <v>2012</v>
      </c>
      <c r="I3274" s="3" t="str">
        <f>""</f>
        <v/>
      </c>
    </row>
    <row r="3275" spans="1:9" x14ac:dyDescent="0.3">
      <c r="A3275" s="2">
        <v>3274</v>
      </c>
      <c r="B3275" s="4" t="s">
        <v>44</v>
      </c>
      <c r="C3275" s="3" t="str">
        <f>"TFC000004732"</f>
        <v>TFC000004732</v>
      </c>
      <c r="D3275" s="3" t="str">
        <f>"F800-22-0524-8(AR 4.3)"</f>
        <v>F800-22-0524-8(AR 4.3)</v>
      </c>
      <c r="E3275" s="3" t="str">
        <f>"Dork diaries. 8, Once upon a dork"</f>
        <v>Dork diaries. 8, Once upon a dork</v>
      </c>
      <c r="F3275" s="3" t="str">
        <f>"by Rachel Renee Russell"</f>
        <v>by Rachel Renee Russell</v>
      </c>
      <c r="G3275" s="3" t="str">
        <f>"Simon &amp; Schuster"</f>
        <v>Simon &amp; Schuster</v>
      </c>
      <c r="H3275" s="2" t="str">
        <f>"2016"</f>
        <v>2016</v>
      </c>
      <c r="I3275" s="3" t="str">
        <f>""</f>
        <v/>
      </c>
    </row>
    <row r="3276" spans="1:9" x14ac:dyDescent="0.3">
      <c r="A3276" s="2">
        <v>3275</v>
      </c>
      <c r="B3276" s="4" t="s">
        <v>45</v>
      </c>
      <c r="C3276" s="3" t="str">
        <f>"TFC000002184"</f>
        <v>TFC000002184</v>
      </c>
      <c r="D3276" s="3" t="str">
        <f>"F800-20-2425-(AR 4.4)"</f>
        <v>F800-20-2425-(AR 4.4)</v>
      </c>
      <c r="E3276" s="3" t="str">
        <f>"Mahalia mouse goes to college"</f>
        <v>Mahalia mouse goes to college</v>
      </c>
      <c r="F3276" s="3" t="str">
        <f>"by John Lithgow ; illustrated by Igor Oleynikov"</f>
        <v>by John Lithgow ; illustrated by Igor Oleynikov</v>
      </c>
      <c r="G3276" s="3" t="str">
        <f>"Simon &amp; Schuster Books for Young Readers"</f>
        <v>Simon &amp; Schuster Books for Young Readers</v>
      </c>
      <c r="H3276" s="2" t="str">
        <f>"2007"</f>
        <v>2007</v>
      </c>
      <c r="I3276" s="2" t="s">
        <v>2</v>
      </c>
    </row>
    <row r="3277" spans="1:9" x14ac:dyDescent="0.3">
      <c r="A3277" s="2">
        <v>3276</v>
      </c>
      <c r="B3277" s="4" t="s">
        <v>45</v>
      </c>
      <c r="C3277" s="3" t="str">
        <f>"TFC000002165"</f>
        <v>TFC000002165</v>
      </c>
      <c r="D3277" s="3" t="str">
        <f>"F800-20-2406-(AR 4.4)"</f>
        <v>F800-20-2406-(AR 4.4)</v>
      </c>
      <c r="E3277" s="3" t="str">
        <f>"Mike Mulligan and his steam shovel"</f>
        <v>Mike Mulligan and his steam shovel</v>
      </c>
      <c r="F3277" s="3" t="str">
        <f>"story and pictures by Virginia Lee Burton"</f>
        <v>story and pictures by Virginia Lee Burton</v>
      </c>
      <c r="G3277" s="3" t="str">
        <f>"Houghton Mifflin Company"</f>
        <v>Houghton Mifflin Company</v>
      </c>
      <c r="H3277" s="2" t="str">
        <f>"1967"</f>
        <v>1967</v>
      </c>
      <c r="I3277" s="2" t="s">
        <v>2</v>
      </c>
    </row>
    <row r="3278" spans="1:9" x14ac:dyDescent="0.3">
      <c r="A3278" s="2">
        <v>3277</v>
      </c>
      <c r="B3278" s="4" t="s">
        <v>45</v>
      </c>
      <c r="C3278" s="3" t="str">
        <f>"TFC000003487"</f>
        <v>TFC000003487</v>
      </c>
      <c r="D3278" s="3" t="str">
        <f>"F800-21-0801-(AR 4.4)"</f>
        <v>F800-21-0801-(AR 4.4)</v>
      </c>
      <c r="E3278" s="3" t="str">
        <f>"(The)five Chinese brothers"</f>
        <v>(The)five Chinese brothers</v>
      </c>
      <c r="F3278" s="3" t="str">
        <f>"by Claire Huchet Bishop, Kurt Wiese"</f>
        <v>by Claire Huchet Bishop, Kurt Wiese</v>
      </c>
      <c r="G3278" s="3" t="str">
        <f>"Penguin Putnam Books for Young Readers"</f>
        <v>Penguin Putnam Books for Young Readers</v>
      </c>
      <c r="H3278" s="2" t="str">
        <f>"1996"</f>
        <v>1996</v>
      </c>
      <c r="I3278" s="3" t="str">
        <f>""</f>
        <v/>
      </c>
    </row>
    <row r="3279" spans="1:9" x14ac:dyDescent="0.3">
      <c r="A3279" s="2">
        <v>3278</v>
      </c>
      <c r="B3279" s="4" t="s">
        <v>45</v>
      </c>
      <c r="C3279" s="3" t="str">
        <f>"TFC000002158"</f>
        <v>TFC000002158</v>
      </c>
      <c r="D3279" s="3" t="str">
        <f>"F300-20-2398-(AR 4.4)"</f>
        <v>F300-20-2398-(AR 4.4)</v>
      </c>
      <c r="E3279" s="3" t="str">
        <f>"(The)legend of the Indian paintbrush"</f>
        <v>(The)legend of the Indian paintbrush</v>
      </c>
      <c r="F3279" s="3" t="str">
        <f>"retold and illustrated by Tomie dePaola"</f>
        <v>retold and illustrated by Tomie dePaola</v>
      </c>
      <c r="G3279" s="3" t="str">
        <f>"PaperStar"</f>
        <v>PaperStar</v>
      </c>
      <c r="H3279" s="2" t="str">
        <f>"1988"</f>
        <v>1988</v>
      </c>
      <c r="I3279" s="3" t="str">
        <f>""</f>
        <v/>
      </c>
    </row>
    <row r="3280" spans="1:9" x14ac:dyDescent="0.3">
      <c r="A3280" s="2">
        <v>3279</v>
      </c>
      <c r="B3280" s="4" t="s">
        <v>45</v>
      </c>
      <c r="C3280" s="3" t="str">
        <f>"TFC000002159"</f>
        <v>TFC000002159</v>
      </c>
      <c r="D3280" s="3" t="str">
        <f>"F400-20-2399-(AR 4.4)"</f>
        <v>F400-20-2399-(AR 4.4)</v>
      </c>
      <c r="E3280" s="3" t="str">
        <f>"Amazing magnetism"</f>
        <v>Amazing magnetism</v>
      </c>
      <c r="F3280" s="3" t="str">
        <f>"written by Rebecca Carmi ; illustrations by John Speirs"</f>
        <v>written by Rebecca Carmi ; illustrations by John Speirs</v>
      </c>
      <c r="G3280" s="3" t="str">
        <f>"Scholastic"</f>
        <v>Scholastic</v>
      </c>
      <c r="H3280" s="2" t="str">
        <f>"2006"</f>
        <v>2006</v>
      </c>
      <c r="I3280" s="3" t="str">
        <f>""</f>
        <v/>
      </c>
    </row>
    <row r="3281" spans="1:9" x14ac:dyDescent="0.3">
      <c r="A3281" s="2">
        <v>3280</v>
      </c>
      <c r="B3281" s="4" t="s">
        <v>45</v>
      </c>
      <c r="C3281" s="3" t="str">
        <f>"TFC000002160"</f>
        <v>TFC000002160</v>
      </c>
      <c r="D3281" s="3" t="str">
        <f>"F400-20-2400-(AR 4.4)"</f>
        <v>F400-20-2400-(AR 4.4)</v>
      </c>
      <c r="E3281" s="3" t="str">
        <f>"Expedition down under"</f>
        <v>Expedition down under</v>
      </c>
      <c r="F3281" s="3" t="str">
        <f>"written by Rebecca Carmi ; illustrations by John Speirs"</f>
        <v>written by Rebecca Carmi ; illustrations by John Speirs</v>
      </c>
      <c r="G3281" s="3" t="str">
        <f>"Scholastic"</f>
        <v>Scholastic</v>
      </c>
      <c r="H3281" s="2" t="str">
        <f>"2006"</f>
        <v>2006</v>
      </c>
      <c r="I3281" s="3" t="str">
        <f>""</f>
        <v/>
      </c>
    </row>
    <row r="3282" spans="1:9" x14ac:dyDescent="0.3">
      <c r="A3282" s="2">
        <v>3281</v>
      </c>
      <c r="B3282" s="4" t="s">
        <v>45</v>
      </c>
      <c r="C3282" s="3" t="str">
        <f>"TFC000002161"</f>
        <v>TFC000002161</v>
      </c>
      <c r="D3282" s="3" t="str">
        <f>"F400-20-2401-(AR 4.4)"</f>
        <v>F400-20-2401-(AR 4.4)</v>
      </c>
      <c r="E3282" s="3" t="str">
        <f>"Little kids first big book of the Ocean"</f>
        <v>Little kids first big book of the Ocean</v>
      </c>
      <c r="F3282" s="3" t="str">
        <f>"Catherine D. Hughes"</f>
        <v>Catherine D. Hughes</v>
      </c>
      <c r="G3282" s="3" t="str">
        <f>"National Geographic Children's Books"</f>
        <v>National Geographic Children's Books</v>
      </c>
      <c r="H3282" s="2" t="str">
        <f>"2013"</f>
        <v>2013</v>
      </c>
      <c r="I3282" s="3" t="str">
        <f>""</f>
        <v/>
      </c>
    </row>
    <row r="3283" spans="1:9" x14ac:dyDescent="0.3">
      <c r="A3283" s="2">
        <v>3282</v>
      </c>
      <c r="B3283" s="4" t="s">
        <v>45</v>
      </c>
      <c r="C3283" s="3" t="str">
        <f>"TFC000002162"</f>
        <v>TFC000002162</v>
      </c>
      <c r="D3283" s="3" t="str">
        <f>"F600-20-2403-(AR 4.4)"</f>
        <v>F600-20-2403-(AR 4.4)</v>
      </c>
      <c r="E3283" s="3" t="str">
        <f>"Baseball's best : five true stories"</f>
        <v>Baseball's best : five true stories</v>
      </c>
      <c r="F3283" s="3" t="str">
        <f>"by Andrew Gutelle ; illustratede by Cliff Spohn"</f>
        <v>by Andrew Gutelle ; illustratede by Cliff Spohn</v>
      </c>
      <c r="G3283" s="3" t="str">
        <f>"Random House"</f>
        <v>Random House</v>
      </c>
      <c r="H3283" s="2" t="str">
        <f>"2009"</f>
        <v>2009</v>
      </c>
      <c r="I3283" s="3" t="str">
        <f>""</f>
        <v/>
      </c>
    </row>
    <row r="3284" spans="1:9" x14ac:dyDescent="0.3">
      <c r="A3284" s="2">
        <v>3283</v>
      </c>
      <c r="B3284" s="4" t="s">
        <v>45</v>
      </c>
      <c r="C3284" s="3" t="str">
        <f>"TFC000002163"</f>
        <v>TFC000002163</v>
      </c>
      <c r="D3284" s="3" t="str">
        <f>"F800-20-2404-(AR 4.4)"</f>
        <v>F800-20-2404-(AR 4.4)</v>
      </c>
      <c r="E3284" s="3" t="str">
        <f>"(The)berenstain bears and the trouble with commercials"</f>
        <v>(The)berenstain bears and the trouble with commercials</v>
      </c>
      <c r="F3284" s="3" t="str">
        <f>"by Stan Berenstain, Jan Berenstain, Mike Berenstain"</f>
        <v>by Stan Berenstain, Jan Berenstain, Mike Berenstain</v>
      </c>
      <c r="G3284" s="3" t="str">
        <f>"HarperFestival"</f>
        <v>HarperFestival</v>
      </c>
      <c r="H3284" s="2" t="str">
        <f>"2009"</f>
        <v>2009</v>
      </c>
      <c r="I3284" s="3" t="str">
        <f>""</f>
        <v/>
      </c>
    </row>
    <row r="3285" spans="1:9" x14ac:dyDescent="0.3">
      <c r="A3285" s="2">
        <v>3284</v>
      </c>
      <c r="B3285" s="4" t="s">
        <v>45</v>
      </c>
      <c r="C3285" s="3" t="str">
        <f>"TFC000002164"</f>
        <v>TFC000002164</v>
      </c>
      <c r="D3285" s="3" t="str">
        <f>"F800-20-2405-(AR 4.4)"</f>
        <v>F800-20-2405-(AR 4.4)</v>
      </c>
      <c r="E3285" s="3" t="str">
        <f>"(The)wish giver : three tales of coven Tree"</f>
        <v>(The)wish giver : three tales of coven Tree</v>
      </c>
      <c r="F3285" s="3" t="str">
        <f>"by Bill Brittain ; drawings by Andrew Glass"</f>
        <v>by Bill Brittain ; drawings by Andrew Glass</v>
      </c>
      <c r="G3285" s="3" t="str">
        <f>"HarperTrophy"</f>
        <v>HarperTrophy</v>
      </c>
      <c r="H3285" s="2" t="str">
        <f>"1986"</f>
        <v>1986</v>
      </c>
      <c r="I3285" s="3" t="str">
        <f>""</f>
        <v/>
      </c>
    </row>
    <row r="3286" spans="1:9" x14ac:dyDescent="0.3">
      <c r="A3286" s="2">
        <v>3285</v>
      </c>
      <c r="B3286" s="4" t="s">
        <v>45</v>
      </c>
      <c r="C3286" s="3" t="str">
        <f>"TFC000002166"</f>
        <v>TFC000002166</v>
      </c>
      <c r="D3286" s="3" t="str">
        <f>"F800-20-2407-(AR 4.4)"</f>
        <v>F800-20-2407-(AR 4.4)</v>
      </c>
      <c r="E3286" s="3" t="str">
        <f>"Esio trot"</f>
        <v>Esio trot</v>
      </c>
      <c r="F3286" s="3" t="str">
        <f>"Roald Dahl ; illustrated by Quentin Blake"</f>
        <v>Roald Dahl ; illustrated by Quentin Blake</v>
      </c>
      <c r="G3286" s="3" t="str">
        <f>"Puffin"</f>
        <v>Puffin</v>
      </c>
      <c r="H3286" s="2" t="str">
        <f>"2016"</f>
        <v>2016</v>
      </c>
      <c r="I3286" s="3" t="str">
        <f>""</f>
        <v/>
      </c>
    </row>
    <row r="3287" spans="1:9" x14ac:dyDescent="0.3">
      <c r="A3287" s="2">
        <v>3286</v>
      </c>
      <c r="B3287" s="4" t="s">
        <v>45</v>
      </c>
      <c r="C3287" s="3" t="str">
        <f>"TFC000002167"</f>
        <v>TFC000002167</v>
      </c>
      <c r="D3287" s="3" t="str">
        <f>"F800-20-2403-(AR 4.4)"</f>
        <v>F800-20-2403-(AR 4.4)</v>
      </c>
      <c r="E3287" s="3" t="str">
        <f>"(The)twists"</f>
        <v>(The)twists</v>
      </c>
      <c r="F3287" s="3" t="str">
        <f>"Roald Dahl ; illustrated by Quentin Blake"</f>
        <v>Roald Dahl ; illustrated by Quentin Blake</v>
      </c>
      <c r="G3287" s="3" t="str">
        <f>"Puffin Books"</f>
        <v>Puffin Books</v>
      </c>
      <c r="H3287" s="2" t="str">
        <f>"2017"</f>
        <v>2017</v>
      </c>
      <c r="I3287" s="3" t="str">
        <f>""</f>
        <v/>
      </c>
    </row>
    <row r="3288" spans="1:9" x14ac:dyDescent="0.3">
      <c r="A3288" s="2">
        <v>3287</v>
      </c>
      <c r="B3288" s="4" t="s">
        <v>45</v>
      </c>
      <c r="C3288" s="3" t="str">
        <f>"TFC000002168"</f>
        <v>TFC000002168</v>
      </c>
      <c r="D3288" s="3" t="str">
        <f>"F800-20-2409-(AR 4.4)"</f>
        <v>F800-20-2409-(AR 4.4)</v>
      </c>
      <c r="E3288" s="3" t="str">
        <f>"26 fairmount avenue"</f>
        <v>26 fairmount avenue</v>
      </c>
      <c r="F3288" s="3" t="str">
        <f>"written and illustrated by Tomie DePaola"</f>
        <v>written and illustrated by Tomie DePaola</v>
      </c>
      <c r="G3288" s="3" t="str">
        <f>"Puffin Books"</f>
        <v>Puffin Books</v>
      </c>
      <c r="H3288" s="2" t="str">
        <f>"2010"</f>
        <v>2010</v>
      </c>
      <c r="I3288" s="3" t="str">
        <f>""</f>
        <v/>
      </c>
    </row>
    <row r="3289" spans="1:9" x14ac:dyDescent="0.3">
      <c r="A3289" s="2">
        <v>3288</v>
      </c>
      <c r="B3289" s="4" t="s">
        <v>45</v>
      </c>
      <c r="C3289" s="3" t="str">
        <f>"TFC000002170"</f>
        <v>TFC000002170</v>
      </c>
      <c r="D3289" s="3" t="str">
        <f>"F800-20-2411-(AR 4.4)"</f>
        <v>F800-20-2411-(AR 4.4)</v>
      </c>
      <c r="E3289" s="3" t="str">
        <f>"Snowflake bentley"</f>
        <v>Snowflake bentley</v>
      </c>
      <c r="F3289" s="3" t="str">
        <f>"Jacqueline Brigge Martin ; illustrated by Mary Azarian"</f>
        <v>Jacqueline Brigge Martin ; illustrated by Mary Azarian</v>
      </c>
      <c r="G3289" s="3" t="str">
        <f>"Houghton Mifflin Harcourt"</f>
        <v>Houghton Mifflin Harcourt</v>
      </c>
      <c r="H3289" s="2" t="str">
        <f>"1998"</f>
        <v>1998</v>
      </c>
      <c r="I3289" s="3" t="str">
        <f>""</f>
        <v/>
      </c>
    </row>
    <row r="3290" spans="1:9" x14ac:dyDescent="0.3">
      <c r="A3290" s="2">
        <v>3289</v>
      </c>
      <c r="B3290" s="4" t="s">
        <v>45</v>
      </c>
      <c r="C3290" s="3" t="str">
        <f>"TFC000002171"</f>
        <v>TFC000002171</v>
      </c>
      <c r="D3290" s="3" t="str">
        <f>"F800-20-2412-(AR 4.4)"</f>
        <v>F800-20-2412-(AR 4.4)</v>
      </c>
      <c r="E3290" s="3" t="str">
        <f>"One morning in Maine"</f>
        <v>One morning in Maine</v>
      </c>
      <c r="F3290" s="3" t="str">
        <f>"by Robert McCloskey"</f>
        <v>by Robert McCloskey</v>
      </c>
      <c r="G3290" s="3" t="str">
        <f>"Puffin Books"</f>
        <v>Puffin Books</v>
      </c>
      <c r="H3290" s="2" t="str">
        <f>"1980"</f>
        <v>1980</v>
      </c>
      <c r="I3290" s="3" t="str">
        <f>""</f>
        <v/>
      </c>
    </row>
    <row r="3291" spans="1:9" x14ac:dyDescent="0.3">
      <c r="A3291" s="2">
        <v>3290</v>
      </c>
      <c r="B3291" s="4" t="s">
        <v>45</v>
      </c>
      <c r="C3291" s="3" t="str">
        <f>"TFC000002172"</f>
        <v>TFC000002172</v>
      </c>
      <c r="D3291" s="3" t="str">
        <f>"F800-20-2413-(AR 4.4)"</f>
        <v>F800-20-2413-(AR 4.4)</v>
      </c>
      <c r="E3291" s="3" t="str">
        <f>"(The)talking eggs : a folktale from the American South"</f>
        <v>(The)talking eggs : a folktale from the American South</v>
      </c>
      <c r="F3291" s="3" t="str">
        <f>"retold by Robert D. San Souci ; pictures by Jerry Pinkney"</f>
        <v>retold by Robert D. San Souci ; pictures by Jerry Pinkney</v>
      </c>
      <c r="G3291" s="3" t="str">
        <f>"Dial Books for Young Readers"</f>
        <v>Dial Books for Young Readers</v>
      </c>
      <c r="H3291" s="2" t="str">
        <f>"1989"</f>
        <v>1989</v>
      </c>
      <c r="I3291" s="3" t="str">
        <f>""</f>
        <v/>
      </c>
    </row>
    <row r="3292" spans="1:9" x14ac:dyDescent="0.3">
      <c r="A3292" s="2">
        <v>3291</v>
      </c>
      <c r="B3292" s="4" t="s">
        <v>45</v>
      </c>
      <c r="C3292" s="3" t="str">
        <f>"TFC000002173"</f>
        <v>TFC000002173</v>
      </c>
      <c r="D3292" s="3" t="str">
        <f>"F800-20-2414-(AR 4.4)"</f>
        <v>F800-20-2414-(AR 4.4)</v>
      </c>
      <c r="E3292" s="3" t="str">
        <f>"Fever 1793"</f>
        <v>Fever 1793</v>
      </c>
      <c r="F3292" s="3" t="str">
        <f>"Laurie Halse Anderson"</f>
        <v>Laurie Halse Anderson</v>
      </c>
      <c r="G3292" s="3" t="str">
        <f>"Simon &amp; Schuster Books for Young Readers"</f>
        <v>Simon &amp; Schuster Books for Young Readers</v>
      </c>
      <c r="H3292" s="2" t="str">
        <f>"2000"</f>
        <v>2000</v>
      </c>
      <c r="I3292" s="3" t="str">
        <f>""</f>
        <v/>
      </c>
    </row>
    <row r="3293" spans="1:9" x14ac:dyDescent="0.3">
      <c r="A3293" s="2">
        <v>3292</v>
      </c>
      <c r="B3293" s="4" t="s">
        <v>45</v>
      </c>
      <c r="C3293" s="3" t="str">
        <f>"TFC000002174"</f>
        <v>TFC000002174</v>
      </c>
      <c r="D3293" s="3" t="str">
        <f>"F800-20-2415-(AR 4.4)"</f>
        <v>F800-20-2415-(AR 4.4)</v>
      </c>
      <c r="E3293" s="3" t="str">
        <f>"Field trip disaster"</f>
        <v>Field trip disaster</v>
      </c>
      <c r="F3293" s="3" t="str">
        <f>"written by Dave Bardin ; illustrations by Derek Fridolfs"</f>
        <v>written by Dave Bardin ; illustrations by Derek Fridolfs</v>
      </c>
      <c r="G3293" s="3" t="str">
        <f>"Scholastic"</f>
        <v>Scholastic</v>
      </c>
      <c r="H3293" s="2" t="str">
        <f>"2019"</f>
        <v>2019</v>
      </c>
      <c r="I3293" s="3" t="str">
        <f>""</f>
        <v/>
      </c>
    </row>
    <row r="3294" spans="1:9" x14ac:dyDescent="0.3">
      <c r="A3294" s="2">
        <v>3293</v>
      </c>
      <c r="B3294" s="4" t="s">
        <v>45</v>
      </c>
      <c r="C3294" s="3" t="str">
        <f>"TFC000002175"</f>
        <v>TFC000002175</v>
      </c>
      <c r="D3294" s="3" t="str">
        <f>"F800-20-2416-(AR 4.4)"</f>
        <v>F800-20-2416-(AR 4.4)</v>
      </c>
      <c r="E3294" s="3" t="str">
        <f>"(The)great Egyptian grave robbery"</f>
        <v>(The)great Egyptian grave robbery</v>
      </c>
      <c r="F3294" s="3" t="str">
        <f>"created by Jeff Brown ; written by Sara Pennypacker ; pictures by Macky Pamintuan"</f>
        <v>created by Jeff Brown ; written by Sara Pennypacker ; pictures by Macky Pamintuan</v>
      </c>
      <c r="G3294" s="3" t="str">
        <f>"Harper"</f>
        <v>Harper</v>
      </c>
      <c r="H3294" s="2" t="str">
        <f>"2009"</f>
        <v>2009</v>
      </c>
      <c r="I3294" s="3" t="str">
        <f>""</f>
        <v/>
      </c>
    </row>
    <row r="3295" spans="1:9" x14ac:dyDescent="0.3">
      <c r="A3295" s="2">
        <v>3294</v>
      </c>
      <c r="B3295" s="4" t="s">
        <v>45</v>
      </c>
      <c r="C3295" s="3" t="str">
        <f>"TFC000002176"</f>
        <v>TFC000002176</v>
      </c>
      <c r="D3295" s="3" t="str">
        <f>"F800-20-2417-(AR 4.4)"</f>
        <v>F800-20-2417-(AR 4.4)</v>
      </c>
      <c r="E3295" s="3" t="str">
        <f>"(The)miraculous journey of Edward Tulane"</f>
        <v>(The)miraculous journey of Edward Tulane</v>
      </c>
      <c r="F3295" s="3" t="str">
        <f>"Kate DiCamillo ; illustrated by Bagram Ibatoulline"</f>
        <v>Kate DiCamillo ; illustrated by Bagram Ibatoulline</v>
      </c>
      <c r="G3295" s="3" t="str">
        <f>"Candlewick Press"</f>
        <v>Candlewick Press</v>
      </c>
      <c r="H3295" s="2" t="str">
        <f>"2015"</f>
        <v>2015</v>
      </c>
      <c r="I3295" s="3" t="str">
        <f>""</f>
        <v/>
      </c>
    </row>
    <row r="3296" spans="1:9" x14ac:dyDescent="0.3">
      <c r="A3296" s="2">
        <v>3295</v>
      </c>
      <c r="B3296" s="4" t="s">
        <v>45</v>
      </c>
      <c r="C3296" s="3" t="str">
        <f>"TFC000002177"</f>
        <v>TFC000002177</v>
      </c>
      <c r="D3296" s="3" t="str">
        <f>"F800-20-2418-(AR 4.4)"</f>
        <v>F800-20-2418-(AR 4.4)</v>
      </c>
      <c r="E3296" s="3" t="str">
        <f>"Icefire"</f>
        <v>Icefire</v>
      </c>
      <c r="F3296" s="3" t="str">
        <f>"Chris D'Lacey"</f>
        <v>Chris D'Lacey</v>
      </c>
      <c r="G3296" s="3" t="str">
        <f>"Scholastic"</f>
        <v>Scholastic</v>
      </c>
      <c r="H3296" s="2" t="str">
        <f>"2007"</f>
        <v>2007</v>
      </c>
      <c r="I3296" s="3" t="str">
        <f>""</f>
        <v/>
      </c>
    </row>
    <row r="3297" spans="1:9" x14ac:dyDescent="0.3">
      <c r="A3297" s="2">
        <v>3296</v>
      </c>
      <c r="B3297" s="4" t="s">
        <v>45</v>
      </c>
      <c r="C3297" s="3" t="str">
        <f>"TFC000002178"</f>
        <v>TFC000002178</v>
      </c>
      <c r="D3297" s="3" t="str">
        <f>"F800-20-2419-(AR 4.4)"</f>
        <v>F800-20-2419-(AR 4.4)</v>
      </c>
      <c r="E3297" s="3" t="str">
        <f>"Mr. Klutz is nuts!"</f>
        <v>Mr. Klutz is nuts!</v>
      </c>
      <c r="F3297" s="3" t="str">
        <f>"Dan Gutman ; pictures by Jim Paillot"</f>
        <v>Dan Gutman ; pictures by Jim Paillot</v>
      </c>
      <c r="G3297" s="3" t="str">
        <f>"HarperTrophy"</f>
        <v>HarperTrophy</v>
      </c>
      <c r="H3297" s="2" t="str">
        <f>"2004"</f>
        <v>2004</v>
      </c>
      <c r="I3297" s="3" t="str">
        <f>""</f>
        <v/>
      </c>
    </row>
    <row r="3298" spans="1:9" x14ac:dyDescent="0.3">
      <c r="A3298" s="2">
        <v>3297</v>
      </c>
      <c r="B3298" s="4" t="s">
        <v>45</v>
      </c>
      <c r="C3298" s="3" t="str">
        <f>"TFC000002179"</f>
        <v>TFC000002179</v>
      </c>
      <c r="D3298" s="3" t="str">
        <f>"F800-20-2420-(AR 4.4)"</f>
        <v>F800-20-2420-(AR 4.4)</v>
      </c>
      <c r="E3298" s="3" t="str">
        <f>"Sweeping up the heart"</f>
        <v>Sweeping up the heart</v>
      </c>
      <c r="F3298" s="3" t="str">
        <f>"Kevin Henkes"</f>
        <v>Kevin Henkes</v>
      </c>
      <c r="G3298" s="3" t="str">
        <f>"Greenwillow Books"</f>
        <v>Greenwillow Books</v>
      </c>
      <c r="H3298" s="2" t="str">
        <f>"2019"</f>
        <v>2019</v>
      </c>
      <c r="I3298" s="3" t="str">
        <f>""</f>
        <v/>
      </c>
    </row>
    <row r="3299" spans="1:9" x14ac:dyDescent="0.3">
      <c r="A3299" s="2">
        <v>3298</v>
      </c>
      <c r="B3299" s="4" t="s">
        <v>45</v>
      </c>
      <c r="C3299" s="3" t="str">
        <f>"TFC000002180"</f>
        <v>TFC000002180</v>
      </c>
      <c r="D3299" s="3" t="str">
        <f>"F800-20-2421-(AR 4.4)"</f>
        <v>F800-20-2421-(AR 4.4)</v>
      </c>
      <c r="E3299" s="3" t="str">
        <f>"Angelina and the Princess"</f>
        <v>Angelina and the Princess</v>
      </c>
      <c r="F3299" s="3" t="str">
        <f>"story by Katharine Holabird ; illustrations by Helen Craig"</f>
        <v>story by Katharine Holabird ; illustrations by Helen Craig</v>
      </c>
      <c r="G3299" s="3" t="str">
        <f>"Little Simon"</f>
        <v>Little Simon</v>
      </c>
      <c r="H3299" s="2" t="str">
        <f>"2020"</f>
        <v>2020</v>
      </c>
      <c r="I3299" s="3" t="str">
        <f>""</f>
        <v/>
      </c>
    </row>
    <row r="3300" spans="1:9" x14ac:dyDescent="0.3">
      <c r="A3300" s="2">
        <v>3299</v>
      </c>
      <c r="B3300" s="4" t="s">
        <v>45</v>
      </c>
      <c r="C3300" s="3" t="str">
        <f>"TFC000002181"</f>
        <v>TFC000002181</v>
      </c>
      <c r="D3300" s="3" t="str">
        <f>"F800-20-2422-(AR 4.4)"</f>
        <v>F800-20-2422-(AR 4.4)</v>
      </c>
      <c r="E3300" s="3" t="str">
        <f>"Lalani of the distant sea"</f>
        <v>Lalani of the distant sea</v>
      </c>
      <c r="F3300" s="3" t="str">
        <f>"Erin Entrada Kelly ; illustrations by Lian Cho"</f>
        <v>Erin Entrada Kelly ; illustrations by Lian Cho</v>
      </c>
      <c r="G3300" s="3" t="str">
        <f>"Greenwillow Books"</f>
        <v>Greenwillow Books</v>
      </c>
      <c r="H3300" s="2" t="str">
        <f>"2019"</f>
        <v>2019</v>
      </c>
      <c r="I3300" s="3" t="str">
        <f>""</f>
        <v/>
      </c>
    </row>
    <row r="3301" spans="1:9" x14ac:dyDescent="0.3">
      <c r="A3301" s="2">
        <v>3300</v>
      </c>
      <c r="B3301" s="4" t="s">
        <v>45</v>
      </c>
      <c r="C3301" s="3" t="str">
        <f>"TFC000002182"</f>
        <v>TFC000002182</v>
      </c>
      <c r="D3301" s="3" t="str">
        <f>"F800-20-2423-(AR 4.4)"</f>
        <v>F800-20-2423-(AR 4.4)</v>
      </c>
      <c r="E3301" s="3" t="str">
        <f>"(The)scrambled states of America"</f>
        <v>(The)scrambled states of America</v>
      </c>
      <c r="F3301" s="3" t="str">
        <f>"by Laurie Keller"</f>
        <v>by Laurie Keller</v>
      </c>
      <c r="G3301" s="3" t="str">
        <f>"Henry Holt and Company"</f>
        <v>Henry Holt and Company</v>
      </c>
      <c r="H3301" s="2" t="str">
        <f>"2002"</f>
        <v>2002</v>
      </c>
      <c r="I3301" s="3" t="str">
        <f>""</f>
        <v/>
      </c>
    </row>
    <row r="3302" spans="1:9" x14ac:dyDescent="0.3">
      <c r="A3302" s="2">
        <v>3301</v>
      </c>
      <c r="B3302" s="4" t="s">
        <v>45</v>
      </c>
      <c r="C3302" s="3" t="str">
        <f>"TFC000002183"</f>
        <v>TFC000002183</v>
      </c>
      <c r="D3302" s="3" t="str">
        <f>"F800-20-2424-(AR 4.4)"</f>
        <v>F800-20-2424-(AR 4.4)</v>
      </c>
      <c r="E3302" s="3" t="str">
        <f>"Library mouse"</f>
        <v>Library mouse</v>
      </c>
      <c r="F3302" s="3" t="str">
        <f>"Daniel Kirk"</f>
        <v>Daniel Kirk</v>
      </c>
      <c r="G3302" s="3" t="str">
        <f>"Abrams Books for Young Readers"</f>
        <v>Abrams Books for Young Readers</v>
      </c>
      <c r="H3302" s="2" t="str">
        <f>"2007"</f>
        <v>2007</v>
      </c>
      <c r="I3302" s="3" t="str">
        <f>""</f>
        <v/>
      </c>
    </row>
    <row r="3303" spans="1:9" x14ac:dyDescent="0.3">
      <c r="A3303" s="2">
        <v>3302</v>
      </c>
      <c r="B3303" s="4" t="s">
        <v>45</v>
      </c>
      <c r="C3303" s="3" t="str">
        <f>"TFC000002186"</f>
        <v>TFC000002186</v>
      </c>
      <c r="D3303" s="3" t="str">
        <f>"F800-20-2427-(AR 4.4)"</f>
        <v>F800-20-2427-(AR 4.4)</v>
      </c>
      <c r="E3303" s="3" t="str">
        <f>"Klawde : evil alien warlord cat. 1"</f>
        <v>Klawde : evil alien warlord cat. 1</v>
      </c>
      <c r="F3303" s="3" t="str">
        <f>"by Johnny Marciano, Emily Chenoweth ; illuatrasted by Robb Mommaerts"</f>
        <v>by Johnny Marciano, Emily Chenoweth ; illuatrasted by Robb Mommaerts</v>
      </c>
      <c r="G3303" s="3" t="str">
        <f>"Penguin Workshop"</f>
        <v>Penguin Workshop</v>
      </c>
      <c r="H3303" s="2" t="str">
        <f>"2019"</f>
        <v>2019</v>
      </c>
      <c r="I3303" s="3" t="str">
        <f>""</f>
        <v/>
      </c>
    </row>
    <row r="3304" spans="1:9" x14ac:dyDescent="0.3">
      <c r="A3304" s="2">
        <v>3303</v>
      </c>
      <c r="B3304" s="4" t="s">
        <v>45</v>
      </c>
      <c r="C3304" s="3" t="str">
        <f>"TFC000002187"</f>
        <v>TFC000002187</v>
      </c>
      <c r="D3304" s="3" t="str">
        <f>"F800-20-2428-(AR 4.4)"</f>
        <v>F800-20-2428-(AR 4.4)</v>
      </c>
      <c r="E3304" s="3" t="str">
        <f>"Marty McGuire digs worms!"</f>
        <v>Marty McGuire digs worms!</v>
      </c>
      <c r="F3304" s="3" t="str">
        <f>"by Kate Messner ; illustrated by Brian Floca"</f>
        <v>by Kate Messner ; illustrated by Brian Floca</v>
      </c>
      <c r="G3304" s="3" t="str">
        <f>"Scholastic"</f>
        <v>Scholastic</v>
      </c>
      <c r="H3304" s="2" t="str">
        <f>"2012"</f>
        <v>2012</v>
      </c>
      <c r="I3304" s="3" t="str">
        <f>""</f>
        <v/>
      </c>
    </row>
    <row r="3305" spans="1:9" x14ac:dyDescent="0.3">
      <c r="A3305" s="2">
        <v>3304</v>
      </c>
      <c r="B3305" s="4" t="s">
        <v>45</v>
      </c>
      <c r="C3305" s="3" t="str">
        <f>"TFC000002188"</f>
        <v>TFC000002188</v>
      </c>
      <c r="D3305" s="3" t="str">
        <f>"F800-20-2429-(AR 4.4)"</f>
        <v>F800-20-2429-(AR 4.4)</v>
      </c>
      <c r="E3305" s="3" t="str">
        <f>"Shiloh"</f>
        <v>Shiloh</v>
      </c>
      <c r="F3305" s="3" t="str">
        <f>"Phyllis Reynolds Naylor"</f>
        <v>Phyllis Reynolds Naylor</v>
      </c>
      <c r="G3305" s="3" t="str">
        <f>"Atheneum Books for Young Readers"</f>
        <v>Atheneum Books for Young Readers</v>
      </c>
      <c r="H3305" s="2" t="str">
        <f>"2000"</f>
        <v>2000</v>
      </c>
      <c r="I3305" s="3" t="str">
        <f>""</f>
        <v/>
      </c>
    </row>
    <row r="3306" spans="1:9" x14ac:dyDescent="0.3">
      <c r="A3306" s="2">
        <v>3305</v>
      </c>
      <c r="B3306" s="4" t="s">
        <v>45</v>
      </c>
      <c r="C3306" s="3" t="str">
        <f>"TFC000002189"</f>
        <v>TFC000002189</v>
      </c>
      <c r="D3306" s="3" t="str">
        <f>"F800-20-2430-(AR 4.4)"</f>
        <v>F800-20-2430-(AR 4.4)</v>
      </c>
      <c r="E3306" s="3" t="str">
        <f>"Captain underpants and the invasion of the incredibly naughty cafeteria ladies from outer space(and the subsequent assault of the equally evil lunchroom zombie nerds)"</f>
        <v>Captain underpants and the invasion of the incredibly naughty cafeteria ladies from outer space(and the subsequent assault of the equally evil lunchroom zombie nerds)</v>
      </c>
      <c r="F3306" s="3" t="str">
        <f>"by Dav Pilkey"</f>
        <v>by Dav Pilkey</v>
      </c>
      <c r="G3306" s="3" t="str">
        <f>"Scholastic"</f>
        <v>Scholastic</v>
      </c>
      <c r="H3306" s="2" t="str">
        <f>"1999"</f>
        <v>1999</v>
      </c>
      <c r="I3306" s="3" t="str">
        <f>""</f>
        <v/>
      </c>
    </row>
    <row r="3307" spans="1:9" x14ac:dyDescent="0.3">
      <c r="A3307" s="2">
        <v>3306</v>
      </c>
      <c r="B3307" s="4" t="s">
        <v>45</v>
      </c>
      <c r="C3307" s="3" t="str">
        <f>"TFC000002190"</f>
        <v>TFC000002190</v>
      </c>
      <c r="D3307" s="3" t="str">
        <f>"F800-20-2431-(AR 4.4)"</f>
        <v>F800-20-2431-(AR 4.4)</v>
      </c>
      <c r="E3307" s="3" t="str">
        <f>"Captain underpants and the wrath of the wicked wedgie woman"</f>
        <v>Captain underpants and the wrath of the wicked wedgie woman</v>
      </c>
      <c r="F3307" s="3" t="str">
        <f>"by Dav Pilkey"</f>
        <v>by Dav Pilkey</v>
      </c>
      <c r="G3307" s="3" t="str">
        <f>"Scholastic"</f>
        <v>Scholastic</v>
      </c>
      <c r="H3307" s="2" t="str">
        <f>"2002"</f>
        <v>2002</v>
      </c>
      <c r="I3307" s="3" t="str">
        <f>""</f>
        <v/>
      </c>
    </row>
    <row r="3308" spans="1:9" x14ac:dyDescent="0.3">
      <c r="A3308" s="2">
        <v>3307</v>
      </c>
      <c r="B3308" s="4" t="s">
        <v>45</v>
      </c>
      <c r="C3308" s="3" t="str">
        <f>"TFC000002191"</f>
        <v>TFC000002191</v>
      </c>
      <c r="D3308" s="3" t="str">
        <f>"F800-20-2432-(AR 4.4)"</f>
        <v>F800-20-2432-(AR 4.4)</v>
      </c>
      <c r="E3308" s="3" t="str">
        <f>"(The)keeping quilt"</f>
        <v>(The)keeping quilt</v>
      </c>
      <c r="F3308" s="3" t="str">
        <f>"Patricia Polacco"</f>
        <v>Patricia Polacco</v>
      </c>
      <c r="G3308" s="3" t="str">
        <f>"Simon &amp; Schuster Books for Young Readers"</f>
        <v>Simon &amp; Schuster Books for Young Readers</v>
      </c>
      <c r="H3308" s="2" t="str">
        <f>"2013"</f>
        <v>2013</v>
      </c>
      <c r="I3308" s="3" t="str">
        <f>""</f>
        <v/>
      </c>
    </row>
    <row r="3309" spans="1:9" x14ac:dyDescent="0.3">
      <c r="A3309" s="2">
        <v>3308</v>
      </c>
      <c r="B3309" s="4" t="s">
        <v>45</v>
      </c>
      <c r="C3309" s="3" t="str">
        <f>"TFC000002192"</f>
        <v>TFC000002192</v>
      </c>
      <c r="D3309" s="3" t="str">
        <f>"F800-20-2433-(AR 4.4)"</f>
        <v>F800-20-2433-(AR 4.4)</v>
      </c>
      <c r="E3309" s="3" t="str">
        <f>"(The)noisy paint box : the colors and sounds of Kandinsky's abstract art"</f>
        <v>(The)noisy paint box : the colors and sounds of Kandinsky's abstract art</v>
      </c>
      <c r="F3309" s="3" t="str">
        <f>"by Barb Rosenstock ; illustrated by Mary GrandPre"</f>
        <v>by Barb Rosenstock ; illustrated by Mary GrandPre</v>
      </c>
      <c r="G3309" s="3" t="str">
        <f>"Alfred A. Knopf"</f>
        <v>Alfred A. Knopf</v>
      </c>
      <c r="H3309" s="2" t="str">
        <f>"2014"</f>
        <v>2014</v>
      </c>
      <c r="I3309" s="3" t="str">
        <f>""</f>
        <v/>
      </c>
    </row>
    <row r="3310" spans="1:9" x14ac:dyDescent="0.3">
      <c r="A3310" s="2">
        <v>3309</v>
      </c>
      <c r="B3310" s="4" t="s">
        <v>45</v>
      </c>
      <c r="C3310" s="3" t="str">
        <f>"TFC000002193"</f>
        <v>TFC000002193</v>
      </c>
      <c r="D3310" s="3" t="str">
        <f>"F800-20-2434-(AR 4.4)"</f>
        <v>F800-20-2434-(AR 4.4)</v>
      </c>
      <c r="E3310" s="3" t="str">
        <f>"Gooseberry Park"</f>
        <v>Gooseberry Park</v>
      </c>
      <c r="F3310" s="3" t="str">
        <f>"Cynthia Rylant ; with illustrations by Arthur Howard"</f>
        <v>Cynthia Rylant ; with illustrations by Arthur Howard</v>
      </c>
      <c r="G3310" s="3" t="str">
        <f>"Harcourt"</f>
        <v>Harcourt</v>
      </c>
      <c r="H3310" s="2" t="str">
        <f>"2007"</f>
        <v>2007</v>
      </c>
      <c r="I3310" s="3" t="str">
        <f>""</f>
        <v/>
      </c>
    </row>
    <row r="3311" spans="1:9" x14ac:dyDescent="0.3">
      <c r="A3311" s="2">
        <v>3310</v>
      </c>
      <c r="B3311" s="4" t="s">
        <v>45</v>
      </c>
      <c r="C3311" s="3" t="str">
        <f>"TFC000002198"</f>
        <v>TFC000002198</v>
      </c>
      <c r="D3311" s="3" t="str">
        <f>"F800-20-2439-(AR 4.4)"</f>
        <v>F800-20-2439-(AR 4.4)</v>
      </c>
      <c r="E3311" s="3" t="str">
        <f>"Grandma's records"</f>
        <v>Grandma's records</v>
      </c>
      <c r="F3311" s="3" t="str">
        <f>"Eric Velasquez"</f>
        <v>Eric Velasquez</v>
      </c>
      <c r="G3311" s="3" t="str">
        <f>"Bloomsbury"</f>
        <v>Bloomsbury</v>
      </c>
      <c r="H3311" s="2" t="str">
        <f>"2004"</f>
        <v>2004</v>
      </c>
      <c r="I3311" s="3" t="str">
        <f>""</f>
        <v/>
      </c>
    </row>
    <row r="3312" spans="1:9" x14ac:dyDescent="0.3">
      <c r="A3312" s="2">
        <v>3311</v>
      </c>
      <c r="B3312" s="4" t="s">
        <v>45</v>
      </c>
      <c r="C3312" s="3" t="str">
        <f>"TFC000002199"</f>
        <v>TFC000002199</v>
      </c>
      <c r="D3312" s="3" t="str">
        <f>"F800-20-2440-(AR 4.4)"</f>
        <v>F800-20-2440-(AR 4.4)</v>
      </c>
      <c r="E3312" s="3" t="str">
        <f>"Charlotte's web"</f>
        <v>Charlotte's web</v>
      </c>
      <c r="F3312" s="3" t="str">
        <f>"E. B. White ; pictures by Garth Williams"</f>
        <v>E. B. White ; pictures by Garth Williams</v>
      </c>
      <c r="G3312" s="3" t="str">
        <f>"Harper"</f>
        <v>Harper</v>
      </c>
      <c r="H3312" s="2" t="str">
        <f>"2012"</f>
        <v>2012</v>
      </c>
      <c r="I3312" s="3" t="str">
        <f>""</f>
        <v/>
      </c>
    </row>
    <row r="3313" spans="1:9" x14ac:dyDescent="0.3">
      <c r="A3313" s="2">
        <v>3312</v>
      </c>
      <c r="B3313" s="4" t="s">
        <v>45</v>
      </c>
      <c r="C3313" s="3" t="str">
        <f>"TFC000002200"</f>
        <v>TFC000002200</v>
      </c>
      <c r="D3313" s="3" t="str">
        <f>"F800-20-2441-(AR 4.4)"</f>
        <v>F800-20-2441-(AR 4.4)</v>
      </c>
      <c r="E3313" s="3" t="str">
        <f>"Belle prater's boy"</f>
        <v>Belle prater's boy</v>
      </c>
      <c r="F3313" s="3" t="str">
        <f>"Ruth White"</f>
        <v>Ruth White</v>
      </c>
      <c r="G3313" s="3" t="str">
        <f>"Square Fish"</f>
        <v>Square Fish</v>
      </c>
      <c r="H3313" s="2" t="str">
        <f>"2012"</f>
        <v>2012</v>
      </c>
      <c r="I3313" s="3" t="str">
        <f>""</f>
        <v/>
      </c>
    </row>
    <row r="3314" spans="1:9" x14ac:dyDescent="0.3">
      <c r="A3314" s="2">
        <v>3313</v>
      </c>
      <c r="B3314" s="4" t="s">
        <v>45</v>
      </c>
      <c r="C3314" s="3" t="str">
        <f>"TFC000002201"</f>
        <v>TFC000002201</v>
      </c>
      <c r="D3314" s="3" t="str">
        <f>"F800-20-2442-(AR 4.4)"</f>
        <v>F800-20-2442-(AR 4.4)</v>
      </c>
      <c r="E3314" s="3" t="str">
        <f>"Feathers"</f>
        <v>Feathers</v>
      </c>
      <c r="F3314" s="3" t="str">
        <f>"Jacqueline Woodson"</f>
        <v>Jacqueline Woodson</v>
      </c>
      <c r="G3314" s="3" t="str">
        <f>"Puffin Books"</f>
        <v>Puffin Books</v>
      </c>
      <c r="H3314" s="2" t="str">
        <f>"2010"</f>
        <v>2010</v>
      </c>
      <c r="I3314" s="3" t="str">
        <f>""</f>
        <v/>
      </c>
    </row>
    <row r="3315" spans="1:9" x14ac:dyDescent="0.3">
      <c r="A3315" s="2">
        <v>3314</v>
      </c>
      <c r="B3315" s="4" t="s">
        <v>45</v>
      </c>
      <c r="C3315" s="3" t="str">
        <f>"TFC000002202"</f>
        <v>TFC000002202</v>
      </c>
      <c r="D3315" s="3" t="str">
        <f>"F800-20-2443-(AR 4.4)"</f>
        <v>F800-20-2443-(AR 4.4)</v>
      </c>
      <c r="E3315" s="3" t="str">
        <f>"Thea Stilton and the dragon's code"</f>
        <v>Thea Stilton and the dragon's code</v>
      </c>
      <c r="F3315" s="3" t="str">
        <f>"text by Thea Stilton ; illustrations by Fabio Bono [et al.]"</f>
        <v>text by Thea Stilton ; illustrations by Fabio Bono [et al.]</v>
      </c>
      <c r="G3315" s="3" t="str">
        <f>"Scholastic"</f>
        <v>Scholastic</v>
      </c>
      <c r="H3315" s="2" t="str">
        <f>"2019"</f>
        <v>2019</v>
      </c>
      <c r="I3315" s="3" t="str">
        <f>""</f>
        <v/>
      </c>
    </row>
    <row r="3316" spans="1:9" x14ac:dyDescent="0.3">
      <c r="A3316" s="2">
        <v>3315</v>
      </c>
      <c r="B3316" s="4" t="s">
        <v>45</v>
      </c>
      <c r="C3316" s="3" t="str">
        <f>"TFC000002204"</f>
        <v>TFC000002204</v>
      </c>
      <c r="D3316" s="3" t="str">
        <f>"F900-20-2456-(AR 4.4)"</f>
        <v>F900-20-2456-(AR 4.4)</v>
      </c>
      <c r="E3316" s="3" t="str">
        <f>"Five brave explorers"</f>
        <v>Five brave explorers</v>
      </c>
      <c r="F3316" s="3" t="str">
        <f>"by Wade Hudson ; illustrated by Ron Garnett"</f>
        <v>by Wade Hudson ; illustrated by Ron Garnett</v>
      </c>
      <c r="G3316" s="3" t="str">
        <f>"Scholastic"</f>
        <v>Scholastic</v>
      </c>
      <c r="H3316" s="2" t="str">
        <f>"1995"</f>
        <v>1995</v>
      </c>
      <c r="I3316" s="3" t="str">
        <f>""</f>
        <v/>
      </c>
    </row>
    <row r="3317" spans="1:9" x14ac:dyDescent="0.3">
      <c r="A3317" s="2">
        <v>3316</v>
      </c>
      <c r="B3317" s="4" t="s">
        <v>45</v>
      </c>
      <c r="C3317" s="3" t="str">
        <f>"TFC000002205"</f>
        <v>TFC000002205</v>
      </c>
      <c r="D3317" s="3" t="str">
        <f>"F900-20-2457-(AR 4.4)"</f>
        <v>F900-20-2457-(AR 4.4)</v>
      </c>
      <c r="E3317" s="3" t="str">
        <f>"Who was Ben Franklin?"</f>
        <v>Who was Ben Franklin?</v>
      </c>
      <c r="F3317" s="3" t="str">
        <f>"by Dennis Brindell Fradin ; illustrated by John O'Brien"</f>
        <v>by Dennis Brindell Fradin ; illustrated by John O'Brien</v>
      </c>
      <c r="G3317" s="3" t="str">
        <f>"Grosset &amp; Dunlap"</f>
        <v>Grosset &amp; Dunlap</v>
      </c>
      <c r="H3317" s="2" t="str">
        <f>"2002"</f>
        <v>2002</v>
      </c>
      <c r="I3317" s="3" t="str">
        <f>""</f>
        <v/>
      </c>
    </row>
    <row r="3318" spans="1:9" x14ac:dyDescent="0.3">
      <c r="A3318" s="2">
        <v>3317</v>
      </c>
      <c r="B3318" s="4" t="s">
        <v>45</v>
      </c>
      <c r="C3318" s="3" t="str">
        <f>"TFC000002206"</f>
        <v>TFC000002206</v>
      </c>
      <c r="D3318" s="3" t="str">
        <f>"F900-20-2458-(AR 4.4)"</f>
        <v>F900-20-2458-(AR 4.4)</v>
      </c>
      <c r="E3318" s="3" t="str">
        <f>"I dissent : Ruth Bader Ginsburg makes her mark"</f>
        <v>I dissent : Ruth Bader Ginsburg makes her mark</v>
      </c>
      <c r="F3318" s="3" t="str">
        <f>"written by Debbie Levy ; illustrated by Elizabeth Baddeley"</f>
        <v>written by Debbie Levy ; illustrated by Elizabeth Baddeley</v>
      </c>
      <c r="G3318" s="3" t="str">
        <f>"Simon &amp; Schuster Book"</f>
        <v>Simon &amp; Schuster Book</v>
      </c>
      <c r="H3318" s="2" t="str">
        <f>"2016"</f>
        <v>2016</v>
      </c>
      <c r="I3318" s="3" t="str">
        <f>""</f>
        <v/>
      </c>
    </row>
    <row r="3319" spans="1:9" x14ac:dyDescent="0.3">
      <c r="A3319" s="2">
        <v>3318</v>
      </c>
      <c r="B3319" s="4" t="s">
        <v>45</v>
      </c>
      <c r="C3319" s="3" t="str">
        <f>"TFC000002207"</f>
        <v>TFC000002207</v>
      </c>
      <c r="D3319" s="3" t="str">
        <f>"F900-20-2459-(AR 4.4)"</f>
        <v>F900-20-2459-(AR 4.4)</v>
      </c>
      <c r="E3319" s="3" t="str">
        <f>"Who was Davy Crockett?"</f>
        <v>Who was Davy Crockett?</v>
      </c>
      <c r="F3319" s="3" t="str">
        <f>"by Gail Herman ; illustrated by Robert Squier"</f>
        <v>by Gail Herman ; illustrated by Robert Squier</v>
      </c>
      <c r="G3319" s="3" t="str">
        <f>"Penguin Workshop"</f>
        <v>Penguin Workshop</v>
      </c>
      <c r="H3319" s="2" t="str">
        <f>"2015"</f>
        <v>2015</v>
      </c>
      <c r="I3319" s="3" t="str">
        <f>""</f>
        <v/>
      </c>
    </row>
    <row r="3320" spans="1:9" x14ac:dyDescent="0.3">
      <c r="A3320" s="2">
        <v>3319</v>
      </c>
      <c r="B3320" s="4" t="s">
        <v>45</v>
      </c>
      <c r="C3320" s="3" t="str">
        <f>"TFC000002208"</f>
        <v>TFC000002208</v>
      </c>
      <c r="D3320" s="3" t="str">
        <f>"F900-20-2460-(AR 4.4)"</f>
        <v>F900-20-2460-(AR 4.4)</v>
      </c>
      <c r="E3320" s="3" t="str">
        <f>"Who was Babe Ruth?"</f>
        <v>Who was Babe Ruth?</v>
      </c>
      <c r="F3320" s="3" t="str">
        <f>"by Joan Holub ; illustrated by Ted Hammond"</f>
        <v>by Joan Holub ; illustrated by Ted Hammond</v>
      </c>
      <c r="G3320" s="3" t="str">
        <f>"Grosset &amp; Dunlap"</f>
        <v>Grosset &amp; Dunlap</v>
      </c>
      <c r="H3320" s="2" t="str">
        <f>"2012"</f>
        <v>2012</v>
      </c>
      <c r="I3320" s="3" t="str">
        <f>""</f>
        <v/>
      </c>
    </row>
    <row r="3321" spans="1:9" x14ac:dyDescent="0.3">
      <c r="A3321" s="2">
        <v>3320</v>
      </c>
      <c r="B3321" s="4" t="s">
        <v>45</v>
      </c>
      <c r="C3321" s="3" t="str">
        <f>"TFC000003045"</f>
        <v>TFC000003045</v>
      </c>
      <c r="D3321" s="3" t="str">
        <f>"F800-20-2446-(AR 4.4)"</f>
        <v>F800-20-2446-(AR 4.4)</v>
      </c>
      <c r="E3321" s="3" t="str">
        <f>"Get me out of here!"</f>
        <v>Get me out of here!</v>
      </c>
      <c r="F3321" s="3" t="str">
        <f>"James Patterson, Chris Tebbetts ; illustrated by Laura Park"</f>
        <v>James Patterson, Chris Tebbetts ; illustrated by Laura Park</v>
      </c>
      <c r="G3321" s="3" t="str">
        <f>"Little, Brown and Company"</f>
        <v>Little, Brown and Company</v>
      </c>
      <c r="H3321" s="2" t="str">
        <f>"2014"</f>
        <v>2014</v>
      </c>
      <c r="I3321" s="3" t="str">
        <f>""</f>
        <v/>
      </c>
    </row>
    <row r="3322" spans="1:9" x14ac:dyDescent="0.3">
      <c r="A3322" s="2">
        <v>3321</v>
      </c>
      <c r="B3322" s="4" t="s">
        <v>45</v>
      </c>
      <c r="C3322" s="3" t="str">
        <f>"TFC000003065"</f>
        <v>TFC000003065</v>
      </c>
      <c r="D3322" s="3" t="str">
        <f>"F800-20-2448-(AR 4.4)"</f>
        <v>F800-20-2448-(AR 4.4)</v>
      </c>
      <c r="E3322" s="3" t="str">
        <f>"Captain underpants and the invasion of the incredibly naughty cafeteria ladies from outer space(and the subsequent assault of the equally evil lunchroom zombie nerds)"</f>
        <v>Captain underpants and the invasion of the incredibly naughty cafeteria ladies from outer space(and the subsequent assault of the equally evil lunchroom zombie nerds)</v>
      </c>
      <c r="F3322" s="3" t="str">
        <f>"by Dav Pilkey"</f>
        <v>by Dav Pilkey</v>
      </c>
      <c r="G3322" s="3" t="str">
        <f>"Scholastic"</f>
        <v>Scholastic</v>
      </c>
      <c r="H3322" s="2" t="str">
        <f>"2015, c1999"</f>
        <v>2015, c1999</v>
      </c>
      <c r="I3322" s="3" t="str">
        <f>""</f>
        <v/>
      </c>
    </row>
    <row r="3323" spans="1:9" x14ac:dyDescent="0.3">
      <c r="A3323" s="2">
        <v>3322</v>
      </c>
      <c r="B3323" s="4" t="s">
        <v>45</v>
      </c>
      <c r="C3323" s="3" t="str">
        <f>"TFC000003066"</f>
        <v>TFC000003066</v>
      </c>
      <c r="D3323" s="3" t="str">
        <f>"F800-20-2449-(AR 4.4)"</f>
        <v>F800-20-2449-(AR 4.4)</v>
      </c>
      <c r="E3323" s="3" t="str">
        <f>"(A)mouseford musical"</f>
        <v>(A)mouseford musical</v>
      </c>
      <c r="F3323" s="3" t="str">
        <f>"Thea Stilton ; illustrations by Chiara Balleello, Francesco Castelli ; translated by Anna Pizzelli"</f>
        <v>Thea Stilton ; illustrations by Chiara Balleello, Francesco Castelli ; translated by Anna Pizzelli</v>
      </c>
      <c r="G3323" s="3" t="str">
        <f>"Scholastic"</f>
        <v>Scholastic</v>
      </c>
      <c r="H3323" s="2" t="str">
        <f>"2015"</f>
        <v>2015</v>
      </c>
      <c r="I3323" s="3" t="str">
        <f>""</f>
        <v/>
      </c>
    </row>
    <row r="3324" spans="1:9" x14ac:dyDescent="0.3">
      <c r="A3324" s="2">
        <v>3323</v>
      </c>
      <c r="B3324" s="4" t="s">
        <v>45</v>
      </c>
      <c r="C3324" s="3" t="str">
        <f>"TFC000003084"</f>
        <v>TFC000003084</v>
      </c>
      <c r="D3324" s="3" t="str">
        <f>"F800-20-2450-(AR 4.4)"</f>
        <v>F800-20-2450-(AR 4.4)</v>
      </c>
      <c r="E3324" s="3" t="str">
        <f>"Bollywood burglary"</f>
        <v>Bollywood burglary</v>
      </c>
      <c r="F3324" s="3" t="str">
        <f>"Geronimo Stilton ; illustrations by Danilo Loizedda, Daria Cerchi ; translated by Lidia Morson Tramontozzi"</f>
        <v>Geronimo Stilton ; illustrations by Danilo Loizedda, Daria Cerchi ; translated by Lidia Morson Tramontozzi</v>
      </c>
      <c r="G3324" s="3" t="str">
        <f>"Scholastic"</f>
        <v>Scholastic</v>
      </c>
      <c r="H3324" s="2" t="str">
        <f>"2017"</f>
        <v>2017</v>
      </c>
      <c r="I3324" s="3" t="str">
        <f>""</f>
        <v/>
      </c>
    </row>
    <row r="3325" spans="1:9" x14ac:dyDescent="0.3">
      <c r="A3325" s="2">
        <v>3324</v>
      </c>
      <c r="B3325" s="4" t="s">
        <v>45</v>
      </c>
      <c r="C3325" s="3" t="str">
        <f>"TFC000003202"</f>
        <v>TFC000003202</v>
      </c>
      <c r="D3325" s="3" t="str">
        <f>"F400-21-0791-(AR 4.4)"</f>
        <v>F400-21-0791-(AR 4.4)</v>
      </c>
      <c r="E3325" s="3" t="str">
        <f>"(The)magic school bus and the electric field trip"</f>
        <v>(The)magic school bus and the electric field trip</v>
      </c>
      <c r="F3325" s="3" t="str">
        <f>"by Joanna Cole ; illustrated by Bruce Degen"</f>
        <v>by Joanna Cole ; illustrated by Bruce Degen</v>
      </c>
      <c r="G3325" s="3" t="str">
        <f>"Scholastic"</f>
        <v>Scholastic</v>
      </c>
      <c r="H3325" s="2" t="str">
        <f>"1997"</f>
        <v>1997</v>
      </c>
      <c r="I3325" s="3" t="str">
        <f>""</f>
        <v/>
      </c>
    </row>
    <row r="3326" spans="1:9" x14ac:dyDescent="0.3">
      <c r="A3326" s="2">
        <v>3325</v>
      </c>
      <c r="B3326" s="4" t="s">
        <v>45</v>
      </c>
      <c r="C3326" s="3" t="str">
        <f>"TFC000003398"</f>
        <v>TFC000003398</v>
      </c>
      <c r="D3326" s="3" t="str">
        <f>"F800-21-0794-(AR 4.4)"</f>
        <v>F800-21-0794-(AR 4.4)</v>
      </c>
      <c r="E3326" s="3" t="str">
        <f>"(The)bremen town musicians"</f>
        <v>(The)bremen town musicians</v>
      </c>
      <c r="F3326" s="3" t="str">
        <f>"retold and illustrated by Ilse Plume"</f>
        <v>retold and illustrated by Ilse Plume</v>
      </c>
      <c r="G3326" s="3" t="str">
        <f>"Dragonfly books"</f>
        <v>Dragonfly books</v>
      </c>
      <c r="H3326" s="2" t="str">
        <f>"1980"</f>
        <v>1980</v>
      </c>
      <c r="I3326" s="3" t="str">
        <f>""</f>
        <v/>
      </c>
    </row>
    <row r="3327" spans="1:9" x14ac:dyDescent="0.3">
      <c r="A3327" s="2">
        <v>3326</v>
      </c>
      <c r="B3327" s="4" t="s">
        <v>45</v>
      </c>
      <c r="C3327" s="3" t="str">
        <f>"TFC000003400"</f>
        <v>TFC000003400</v>
      </c>
      <c r="D3327" s="3" t="str">
        <f>"F800-21-0796-(AR 4.4)"</f>
        <v>F800-21-0796-(AR 4.4)</v>
      </c>
      <c r="E3327" s="3" t="str">
        <f>"Pictures of hollis woods"</f>
        <v>Pictures of hollis woods</v>
      </c>
      <c r="F3327" s="3" t="str">
        <f>"by Patricia Reilly Giff"</f>
        <v>by Patricia Reilly Giff</v>
      </c>
      <c r="G3327" s="3" t="str">
        <f>"Yearling"</f>
        <v>Yearling</v>
      </c>
      <c r="H3327" s="2" t="str">
        <f>"2002"</f>
        <v>2002</v>
      </c>
      <c r="I3327" s="3" t="str">
        <f>""</f>
        <v/>
      </c>
    </row>
    <row r="3328" spans="1:9" x14ac:dyDescent="0.3">
      <c r="A3328" s="2">
        <v>3327</v>
      </c>
      <c r="B3328" s="4" t="s">
        <v>45</v>
      </c>
      <c r="C3328" s="3" t="str">
        <f>"TFC000003401"</f>
        <v>TFC000003401</v>
      </c>
      <c r="D3328" s="3" t="str">
        <f>"F800-21-0797-(AR 4.4)"</f>
        <v>F800-21-0797-(AR 4.4)</v>
      </c>
      <c r="E3328" s="3" t="str">
        <f>"Scary stories for young foxes"</f>
        <v>Scary stories for young foxes</v>
      </c>
      <c r="F3328" s="3" t="str">
        <f>"by Christian McKay Heidicker ; with illustrations by Junyi Wu"</f>
        <v>by Christian McKay Heidicker ; with illustrations by Junyi Wu</v>
      </c>
      <c r="G3328" s="3" t="str">
        <f>"Henry Holt and Company"</f>
        <v>Henry Holt and Company</v>
      </c>
      <c r="H3328" s="2" t="str">
        <f>"2019"</f>
        <v>2019</v>
      </c>
      <c r="I3328" s="3" t="str">
        <f>""</f>
        <v/>
      </c>
    </row>
    <row r="3329" spans="1:9" x14ac:dyDescent="0.3">
      <c r="A3329" s="2">
        <v>3328</v>
      </c>
      <c r="B3329" s="4" t="s">
        <v>45</v>
      </c>
      <c r="C3329" s="3" t="str">
        <f>"TFC000003444"</f>
        <v>TFC000003444</v>
      </c>
      <c r="D3329" s="3" t="str">
        <f>"F800-21-0798-(AR 4.4)"</f>
        <v>F800-21-0798-(AR 4.4)</v>
      </c>
      <c r="E3329" s="3" t="str">
        <f>"(The)wyrm king"</f>
        <v>(The)wyrm king</v>
      </c>
      <c r="F3329" s="3" t="str">
        <f>"Tony DiTerlizzi and Holly Black"</f>
        <v>Tony DiTerlizzi and Holly Black</v>
      </c>
      <c r="G3329" s="3" t="str">
        <f>"Simon &amp; Schuster"</f>
        <v>Simon &amp; Schuster</v>
      </c>
      <c r="H3329" s="2" t="str">
        <f>"2009"</f>
        <v>2009</v>
      </c>
      <c r="I3329" s="3" t="str">
        <f>""</f>
        <v/>
      </c>
    </row>
    <row r="3330" spans="1:9" x14ac:dyDescent="0.3">
      <c r="A3330" s="2">
        <v>3329</v>
      </c>
      <c r="B3330" s="4" t="s">
        <v>45</v>
      </c>
      <c r="C3330" s="3" t="str">
        <f>"TFC000003475"</f>
        <v>TFC000003475</v>
      </c>
      <c r="D3330" s="3" t="str">
        <f>"F800-21-0799-(AR 4.4)"</f>
        <v>F800-21-0799-(AR 4.4)</v>
      </c>
      <c r="E3330" s="3" t="str">
        <f>"Claude at the spotlight"</f>
        <v>Claude at the spotlight</v>
      </c>
      <c r="F3330" s="3" t="str">
        <f>"by Alex T. Smith"</f>
        <v>by Alex T. Smith</v>
      </c>
      <c r="G3330" s="3" t="str">
        <f>"Hodder Children's Books"</f>
        <v>Hodder Children's Books</v>
      </c>
      <c r="H3330" s="2" t="str">
        <f>"2013"</f>
        <v>2013</v>
      </c>
      <c r="I3330" s="3" t="str">
        <f>""</f>
        <v/>
      </c>
    </row>
    <row r="3331" spans="1:9" x14ac:dyDescent="0.3">
      <c r="A3331" s="2">
        <v>3330</v>
      </c>
      <c r="B3331" s="4" t="s">
        <v>45</v>
      </c>
      <c r="C3331" s="3" t="str">
        <f>"TFC000003476"</f>
        <v>TFC000003476</v>
      </c>
      <c r="D3331" s="3" t="str">
        <f>"F800-21-0800-(AR 4.4)"</f>
        <v>F800-21-0800-(AR 4.4)</v>
      </c>
      <c r="E3331" s="3" t="str">
        <f>"Claude at the beach"</f>
        <v>Claude at the beach</v>
      </c>
      <c r="F3331" s="3" t="str">
        <f>"by Alex T. Smith"</f>
        <v>by Alex T. Smith</v>
      </c>
      <c r="G3331" s="3" t="str">
        <f>"Peachtree Publishers"</f>
        <v>Peachtree Publishers</v>
      </c>
      <c r="H3331" s="2" t="str">
        <f>"2016"</f>
        <v>2016</v>
      </c>
      <c r="I3331" s="3" t="str">
        <f>""</f>
        <v/>
      </c>
    </row>
    <row r="3332" spans="1:9" x14ac:dyDescent="0.3">
      <c r="A3332" s="2">
        <v>3331</v>
      </c>
      <c r="B3332" s="4" t="s">
        <v>45</v>
      </c>
      <c r="C3332" s="3" t="str">
        <f>"TFC000003590"</f>
        <v>TFC000003590</v>
      </c>
      <c r="D3332" s="3" t="str">
        <f>"F800-21-0802-(AR 4.4)"</f>
        <v>F800-21-0802-(AR 4.4)</v>
      </c>
      <c r="E3332" s="3" t="str">
        <f>"(The)spiderwick chronicles. 5, The wrath of Mulgarath"</f>
        <v>(The)spiderwick chronicles. 5, The wrath of Mulgarath</v>
      </c>
      <c r="F3332" s="3" t="str">
        <f>"by Tony DiTerlizzi and Holly Black"</f>
        <v>by Tony DiTerlizzi and Holly Black</v>
      </c>
      <c r="G3332" s="3" t="str">
        <f>"Simon and Schuster Books for Young Readers"</f>
        <v>Simon and Schuster Books for Young Readers</v>
      </c>
      <c r="H3332" s="2" t="str">
        <f>"2013"</f>
        <v>2013</v>
      </c>
      <c r="I3332" s="3" t="str">
        <f>""</f>
        <v/>
      </c>
    </row>
    <row r="3333" spans="1:9" x14ac:dyDescent="0.3">
      <c r="A3333" s="2">
        <v>3332</v>
      </c>
      <c r="B3333" s="4" t="s">
        <v>45</v>
      </c>
      <c r="C3333" s="3" t="str">
        <f>"TFC000004827"</f>
        <v>TFC000004827</v>
      </c>
      <c r="D3333" s="3" t="str">
        <f>"F800-22-0564-(AR 4.4)"</f>
        <v>F800-22-0564-(AR 4.4)</v>
      </c>
      <c r="E3333" s="3" t="str">
        <f>"Stand up, Yumi Chung!"</f>
        <v>Stand up, Yumi Chung!</v>
      </c>
      <c r="F3333" s="3" t="str">
        <f>"by Jessica Kim"</f>
        <v>by Jessica Kim</v>
      </c>
      <c r="G3333" s="3" t="str">
        <f>"Puffin Books"</f>
        <v>Puffin Books</v>
      </c>
      <c r="H3333" s="2" t="str">
        <f>"2021"</f>
        <v>2021</v>
      </c>
      <c r="I3333" s="3" t="str">
        <f>""</f>
        <v/>
      </c>
    </row>
    <row r="3334" spans="1:9" x14ac:dyDescent="0.3">
      <c r="A3334" s="2">
        <v>3333</v>
      </c>
      <c r="B3334" s="4" t="s">
        <v>45</v>
      </c>
      <c r="C3334" s="3" t="str">
        <f>"TFC000004796"</f>
        <v>TFC000004796</v>
      </c>
      <c r="D3334" s="3" t="str">
        <f>"F800-22-0534-(AR 4.4)"</f>
        <v>F800-22-0534-(AR 4.4)</v>
      </c>
      <c r="E3334" s="3" t="str">
        <f>"(The)Twits"</f>
        <v>(The)Twits</v>
      </c>
      <c r="F3334" s="3" t="str">
        <f>"by Roald Dahl, illustrated by Quentin Blake"</f>
        <v>by Roald Dahl, illustrated by Quentin Blake</v>
      </c>
      <c r="G3334" s="3" t="str">
        <f>"Penguin Books"</f>
        <v>Penguin Books</v>
      </c>
      <c r="H3334" s="2" t="str">
        <f>"2014"</f>
        <v>2014</v>
      </c>
      <c r="I3334" s="3" t="str">
        <f>""</f>
        <v/>
      </c>
    </row>
    <row r="3335" spans="1:9" x14ac:dyDescent="0.3">
      <c r="A3335" s="2">
        <v>3334</v>
      </c>
      <c r="B3335" s="4" t="s">
        <v>45</v>
      </c>
      <c r="C3335" s="3" t="str">
        <f>"TFC000004797"</f>
        <v>TFC000004797</v>
      </c>
      <c r="D3335" s="3" t="str">
        <f>"F800-22-0535-(AR 4.4)"</f>
        <v>F800-22-0535-(AR 4.4)</v>
      </c>
      <c r="E3335" s="3" t="str">
        <f>"Charlie and the great glass elevator"</f>
        <v>Charlie and the great glass elevator</v>
      </c>
      <c r="F3335" s="3" t="str">
        <f>"by Roald Dahl, illustrated by Quentin Blake"</f>
        <v>by Roald Dahl, illustrated by Quentin Blake</v>
      </c>
      <c r="G3335" s="3" t="str">
        <f>"Penguin Books"</f>
        <v>Penguin Books</v>
      </c>
      <c r="H3335" s="2" t="str">
        <f>"2014"</f>
        <v>2014</v>
      </c>
      <c r="I3335" s="3" t="str">
        <f>""</f>
        <v/>
      </c>
    </row>
    <row r="3336" spans="1:9" x14ac:dyDescent="0.3">
      <c r="A3336" s="2">
        <v>3335</v>
      </c>
      <c r="B3336" s="4" t="s">
        <v>45</v>
      </c>
      <c r="C3336" s="3" t="str">
        <f>"TFC000004548"</f>
        <v>TFC000004548</v>
      </c>
      <c r="D3336" s="3" t="str">
        <f>"F800-22-0357-(AR4.4)"</f>
        <v>F800-22-0357-(AR4.4)</v>
      </c>
      <c r="E3336" s="3" t="str">
        <f>"Julius Zebra : Entangled with the Egyptiants!"</f>
        <v>Julius Zebra : Entangled with the Egyptiants!</v>
      </c>
      <c r="F3336" s="3" t="str">
        <f>"by Gary Northfield"</f>
        <v>by Gary Northfield</v>
      </c>
      <c r="G3336" s="3" t="str">
        <f>"Candlewick Press"</f>
        <v>Candlewick Press</v>
      </c>
      <c r="H3336" s="2" t="str">
        <f>"2019"</f>
        <v>2019</v>
      </c>
      <c r="I3336" s="3" t="str">
        <f>""</f>
        <v/>
      </c>
    </row>
    <row r="3337" spans="1:9" x14ac:dyDescent="0.3">
      <c r="A3337" s="2">
        <v>3336</v>
      </c>
      <c r="B3337" s="4" t="s">
        <v>45</v>
      </c>
      <c r="C3337" s="3" t="str">
        <f>"TFC000004504"</f>
        <v>TFC000004504</v>
      </c>
      <c r="D3337" s="3" t="str">
        <f>"F800-22-0313-(AR4.4)"</f>
        <v>F800-22-0313-(AR4.4)</v>
      </c>
      <c r="E3337" s="3" t="str">
        <f>"Branches of hope : the 9/11 Survivor Tree"</f>
        <v>Branches of hope : the 9/11 Survivor Tree</v>
      </c>
      <c r="F3337" s="3" t="str">
        <f>"Ann Magee, illustrated by Nicole Wong"</f>
        <v>Ann Magee, illustrated by Nicole Wong</v>
      </c>
      <c r="G3337" s="3" t="str">
        <f>"Charlesbridge Publishing"</f>
        <v>Charlesbridge Publishing</v>
      </c>
      <c r="H3337" s="2" t="str">
        <f>"2021"</f>
        <v>2021</v>
      </c>
      <c r="I3337" s="3" t="str">
        <f>""</f>
        <v/>
      </c>
    </row>
    <row r="3338" spans="1:9" x14ac:dyDescent="0.3">
      <c r="A3338" s="2">
        <v>3337</v>
      </c>
      <c r="B3338" s="4" t="s">
        <v>45</v>
      </c>
      <c r="C3338" s="3" t="str">
        <f>"TFC000004505"</f>
        <v>TFC000004505</v>
      </c>
      <c r="D3338" s="3" t="str">
        <f>"F800-22-0314-(AR4.4)"</f>
        <v>F800-22-0314-(AR4.4)</v>
      </c>
      <c r="E3338" s="3" t="str">
        <f>"Eyes that speak to the stars"</f>
        <v>Eyes that speak to the stars</v>
      </c>
      <c r="F3338" s="3" t="str">
        <f>"by Joanna Ho, illustrated by Dung Ho"</f>
        <v>by Joanna Ho, illustrated by Dung Ho</v>
      </c>
      <c r="G3338" s="3" t="str">
        <f>"Harper Collins Publishers"</f>
        <v>Harper Collins Publishers</v>
      </c>
      <c r="H3338" s="2" t="str">
        <f>"2022"</f>
        <v>2022</v>
      </c>
      <c r="I3338" s="3" t="str">
        <f>""</f>
        <v/>
      </c>
    </row>
    <row r="3339" spans="1:9" x14ac:dyDescent="0.3">
      <c r="A3339" s="2">
        <v>3338</v>
      </c>
      <c r="B3339" s="4" t="s">
        <v>45</v>
      </c>
      <c r="C3339" s="3" t="str">
        <f>"TFC000004541"</f>
        <v>TFC000004541</v>
      </c>
      <c r="D3339" s="3" t="str">
        <f>"F800-22-0350-(AR4.4)"</f>
        <v>F800-22-0350-(AR4.4)</v>
      </c>
      <c r="E3339" s="3" t="str">
        <f>"Abby, tried and true"</f>
        <v>Abby, tried and true</v>
      </c>
      <c r="F3339" s="3" t="str">
        <f>"by Donna Gephart"</f>
        <v>by Donna Gephart</v>
      </c>
      <c r="G3339" s="3" t="str">
        <f>"Simon &amp; Schuster Books for Young Readers"</f>
        <v>Simon &amp; Schuster Books for Young Readers</v>
      </c>
      <c r="H3339" s="2" t="str">
        <f>"2021"</f>
        <v>2021</v>
      </c>
      <c r="I3339" s="3" t="str">
        <f>""</f>
        <v/>
      </c>
    </row>
    <row r="3340" spans="1:9" x14ac:dyDescent="0.3">
      <c r="A3340" s="2">
        <v>3339</v>
      </c>
      <c r="B3340" s="4" t="s">
        <v>45</v>
      </c>
      <c r="C3340" s="3" t="str">
        <f>"TFC000004542"</f>
        <v>TFC000004542</v>
      </c>
      <c r="D3340" s="3" t="str">
        <f>"F800-22-0351-(AR4.4)"</f>
        <v>F800-22-0351-(AR4.4)</v>
      </c>
      <c r="E3340" s="3" t="str">
        <f>"Aisha the sapphire treasure dragon"</f>
        <v>Aisha the sapphire treasure dragon</v>
      </c>
      <c r="F3340" s="3" t="str">
        <f>"by Maddy Mara, illustrations by Thais Damiao"</f>
        <v>by Maddy Mara, illustrations by Thais Damiao</v>
      </c>
      <c r="G3340" s="3" t="str">
        <f>"Scholastic"</f>
        <v>Scholastic</v>
      </c>
      <c r="H3340" s="2" t="str">
        <f>"2021"</f>
        <v>2021</v>
      </c>
      <c r="I3340" s="3" t="str">
        <f>""</f>
        <v/>
      </c>
    </row>
    <row r="3341" spans="1:9" x14ac:dyDescent="0.3">
      <c r="A3341" s="2">
        <v>3340</v>
      </c>
      <c r="B3341" s="4" t="s">
        <v>45</v>
      </c>
      <c r="C3341" s="3" t="str">
        <f>"TFC000004543"</f>
        <v>TFC000004543</v>
      </c>
      <c r="D3341" s="3" t="str">
        <f>"F800-22-0352-(AR4.4)"</f>
        <v>F800-22-0352-(AR4.4)</v>
      </c>
      <c r="E3341" s="3" t="str">
        <f>"Concealed"</f>
        <v>Concealed</v>
      </c>
      <c r="F3341" s="3" t="str">
        <f>"by Christina Diaz Gonzalez"</f>
        <v>by Christina Diaz Gonzalez</v>
      </c>
      <c r="G3341" s="3" t="str">
        <f>"Scholastic Press"</f>
        <v>Scholastic Press</v>
      </c>
      <c r="H3341" s="2" t="str">
        <f>"2021"</f>
        <v>2021</v>
      </c>
      <c r="I3341" s="3" t="str">
        <f>""</f>
        <v/>
      </c>
    </row>
    <row r="3342" spans="1:9" x14ac:dyDescent="0.3">
      <c r="A3342" s="2">
        <v>3341</v>
      </c>
      <c r="B3342" s="4" t="s">
        <v>45</v>
      </c>
      <c r="C3342" s="3" t="str">
        <f>"TFC000004544"</f>
        <v>TFC000004544</v>
      </c>
      <c r="D3342" s="3" t="str">
        <f>"F800-22-0353-(AR4.4)"</f>
        <v>F800-22-0353-(AR4.4)</v>
      </c>
      <c r="E3342" s="3" t="str">
        <f>"Cooper's story : a puppy tale"</f>
        <v>Cooper's story : a puppy tale</v>
      </c>
      <c r="F3342" s="3" t="str">
        <f>"by W. Bruce Cameron, illustrations by Richard Cowdrey"</f>
        <v>by W. Bruce Cameron, illustrations by Richard Cowdrey</v>
      </c>
      <c r="G3342" s="3" t="str">
        <f>"Starscape"</f>
        <v>Starscape</v>
      </c>
      <c r="H3342" s="2" t="str">
        <f>"2021"</f>
        <v>2021</v>
      </c>
      <c r="I3342" s="3" t="str">
        <f>""</f>
        <v/>
      </c>
    </row>
    <row r="3343" spans="1:9" x14ac:dyDescent="0.3">
      <c r="A3343" s="2">
        <v>3342</v>
      </c>
      <c r="B3343" s="4" t="s">
        <v>45</v>
      </c>
      <c r="C3343" s="3" t="str">
        <f>"TFC000004545"</f>
        <v>TFC000004545</v>
      </c>
      <c r="D3343" s="3" t="str">
        <f>"F800-22-0354-(AR4.4)"</f>
        <v>F800-22-0354-(AR4.4)</v>
      </c>
      <c r="E3343" s="3" t="str">
        <f>"(The)Do-Over"</f>
        <v>(The)Do-Over</v>
      </c>
      <c r="F3343" s="3" t="str">
        <f>"by Jennifer Torres"</f>
        <v>by Jennifer Torres</v>
      </c>
      <c r="G3343" s="3" t="str">
        <f>"Scholastic Press"</f>
        <v>Scholastic Press</v>
      </c>
      <c r="H3343" s="2" t="str">
        <f>"2022"</f>
        <v>2022</v>
      </c>
      <c r="I3343" s="3" t="str">
        <f>""</f>
        <v/>
      </c>
    </row>
    <row r="3344" spans="1:9" x14ac:dyDescent="0.3">
      <c r="A3344" s="2">
        <v>3343</v>
      </c>
      <c r="B3344" s="4" t="s">
        <v>45</v>
      </c>
      <c r="C3344" s="3" t="str">
        <f>"TFC000004546"</f>
        <v>TFC000004546</v>
      </c>
      <c r="D3344" s="3" t="str">
        <f>"F800-22-0355-(AR4.4)"</f>
        <v>F800-22-0355-(AR4.4)</v>
      </c>
      <c r="E3344" s="3" t="str">
        <f>"Ghost girl"</f>
        <v>Ghost girl</v>
      </c>
      <c r="F3344" s="3" t="str">
        <f>"by Ally Malinenko"</f>
        <v>by Ally Malinenko</v>
      </c>
      <c r="G3344" s="3" t="str">
        <f>"Katherine Tegen Books"</f>
        <v>Katherine Tegen Books</v>
      </c>
      <c r="H3344" s="2" t="str">
        <f>"2021"</f>
        <v>2021</v>
      </c>
      <c r="I3344" s="3" t="str">
        <f>""</f>
        <v/>
      </c>
    </row>
    <row r="3345" spans="1:9" x14ac:dyDescent="0.3">
      <c r="A3345" s="2">
        <v>3344</v>
      </c>
      <c r="B3345" s="4" t="s">
        <v>45</v>
      </c>
      <c r="C3345" s="3" t="str">
        <f>"TFC000004547"</f>
        <v>TFC000004547</v>
      </c>
      <c r="D3345" s="3" t="str">
        <f>"F800-22-0356-(AR4.4)"</f>
        <v>F800-22-0356-(AR4.4)</v>
      </c>
      <c r="E3345" s="3" t="str">
        <f>"Ivy and the goblins"</f>
        <v>Ivy and the goblins</v>
      </c>
      <c r="F3345" s="3" t="str">
        <f>"by Katherine Coville, illustrated by Celia Kaspar."</f>
        <v>by Katherine Coville, illustrated by Celia Kaspar.</v>
      </c>
      <c r="G3345" s="3" t="str">
        <f>"Alfred A. Knopf"</f>
        <v>Alfred A. Knopf</v>
      </c>
      <c r="H3345" s="2" t="str">
        <f>"2019."</f>
        <v>2019.</v>
      </c>
      <c r="I3345" s="3" t="str">
        <f>""</f>
        <v/>
      </c>
    </row>
    <row r="3346" spans="1:9" x14ac:dyDescent="0.3">
      <c r="A3346" s="2">
        <v>3345</v>
      </c>
      <c r="B3346" s="4" t="s">
        <v>45</v>
      </c>
      <c r="C3346" s="3" t="str">
        <f>"TFC000004549"</f>
        <v>TFC000004549</v>
      </c>
      <c r="D3346" s="3" t="str">
        <f>"F800-22-0358-(AR4.4)"</f>
        <v>F800-22-0358-(AR4.4)</v>
      </c>
      <c r="E3346" s="3" t="str">
        <f>"Middle School: : It's a Zoo in Here!"</f>
        <v>Middle School: : It's a Zoo in Here!</v>
      </c>
      <c r="F3346" s="3" t="str">
        <f>"by James Patterson, Brian Sitts, illustrated by Jomike Tejido"</f>
        <v>by James Patterson, Brian Sitts, illustrated by Jomike Tejido</v>
      </c>
      <c r="G3346" s="3" t="str">
        <f>"Hachette Children"</f>
        <v>Hachette Children</v>
      </c>
      <c r="H3346" s="2" t="str">
        <f>"2022"</f>
        <v>2022</v>
      </c>
      <c r="I3346" s="3" t="str">
        <f>""</f>
        <v/>
      </c>
    </row>
    <row r="3347" spans="1:9" x14ac:dyDescent="0.3">
      <c r="A3347" s="2">
        <v>3346</v>
      </c>
      <c r="B3347" s="4" t="s">
        <v>45</v>
      </c>
      <c r="C3347" s="3" t="str">
        <f>"TFC000004550"</f>
        <v>TFC000004550</v>
      </c>
      <c r="D3347" s="3" t="str">
        <f>"F800-22-0359-(AR4.4)"</f>
        <v>F800-22-0359-(AR4.4)</v>
      </c>
      <c r="E3347" s="3" t="str">
        <f>"My Otter Half"</f>
        <v>My Otter Half</v>
      </c>
      <c r="F3347" s="3" t="str">
        <f>"by Michelle Schusterman"</f>
        <v>by Michelle Schusterman</v>
      </c>
      <c r="G3347" s="3" t="str">
        <f>"Scholastic Inc"</f>
        <v>Scholastic Inc</v>
      </c>
      <c r="H3347" s="2" t="str">
        <f>"2022"</f>
        <v>2022</v>
      </c>
      <c r="I3347" s="3" t="str">
        <f>""</f>
        <v/>
      </c>
    </row>
    <row r="3348" spans="1:9" x14ac:dyDescent="0.3">
      <c r="A3348" s="2">
        <v>3347</v>
      </c>
      <c r="B3348" s="4" t="s">
        <v>45</v>
      </c>
      <c r="C3348" s="3" t="str">
        <f>"TFC000004551"</f>
        <v>TFC000004551</v>
      </c>
      <c r="D3348" s="3" t="str">
        <f>"F800-22-0360-(AR4.4)"</f>
        <v>F800-22-0360-(AR4.4)</v>
      </c>
      <c r="E3348" s="3" t="str">
        <f>"Wednesday : (The)Forest of Secrets"</f>
        <v>Wednesday : (The)Forest of Secrets</v>
      </c>
      <c r="F3348" s="3" t="str">
        <f>"by Ralph Lazar, illustrated by Lisa Swerling"</f>
        <v>by Ralph Lazar, illustrated by Lisa Swerling</v>
      </c>
      <c r="G3348" s="3" t="str">
        <f>"Scholastic Inc"</f>
        <v>Scholastic Inc</v>
      </c>
      <c r="H3348" s="2" t="str">
        <f>"2021"</f>
        <v>2021</v>
      </c>
      <c r="I3348" s="3" t="str">
        <f>""</f>
        <v/>
      </c>
    </row>
    <row r="3349" spans="1:9" x14ac:dyDescent="0.3">
      <c r="A3349" s="2">
        <v>3348</v>
      </c>
      <c r="B3349" s="4" t="s">
        <v>45</v>
      </c>
      <c r="C3349" s="3" t="str">
        <f>"TFC000004600"</f>
        <v>TFC000004600</v>
      </c>
      <c r="D3349" s="3" t="str">
        <f>"F800-22-0409-(AR4.4)"</f>
        <v>F800-22-0409-(AR4.4)</v>
      </c>
      <c r="E3349" s="3" t="str">
        <f>"(The)Traitor's Blade. 5"</f>
        <v>(The)Traitor's Blade. 5</v>
      </c>
      <c r="F3349" s="3" t="str">
        <f>"by Kevin Sands"</f>
        <v>by Kevin Sands</v>
      </c>
      <c r="G3349" s="3" t="str">
        <f>"Aladdin Paperbacks"</f>
        <v>Aladdin Paperbacks</v>
      </c>
      <c r="H3349" s="2" t="str">
        <f>"2021"</f>
        <v>2021</v>
      </c>
      <c r="I3349" s="3" t="str">
        <f>""</f>
        <v/>
      </c>
    </row>
    <row r="3350" spans="1:9" x14ac:dyDescent="0.3">
      <c r="A3350" s="2">
        <v>3349</v>
      </c>
      <c r="B3350" s="4" t="s">
        <v>45</v>
      </c>
      <c r="C3350" s="3" t="str">
        <f>"TFC000004613"</f>
        <v>TFC000004613</v>
      </c>
      <c r="D3350" s="3" t="str">
        <f>"F800-22-0422-(AR4.4)"</f>
        <v>F800-22-0422-(AR4.4)</v>
      </c>
      <c r="E3350" s="3" t="str">
        <f>"Accidental"</f>
        <v>Accidental</v>
      </c>
      <c r="F3350" s="3" t="str">
        <f>"by Alex Richards"</f>
        <v>by Alex Richards</v>
      </c>
      <c r="G3350" s="3" t="str">
        <f>"Bloomsbury YA"</f>
        <v>Bloomsbury YA</v>
      </c>
      <c r="H3350" s="2" t="str">
        <f>"2020"</f>
        <v>2020</v>
      </c>
      <c r="I3350" s="3" t="str">
        <f>""</f>
        <v/>
      </c>
    </row>
    <row r="3351" spans="1:9" x14ac:dyDescent="0.3">
      <c r="A3351" s="2">
        <v>3350</v>
      </c>
      <c r="B3351" s="4" t="s">
        <v>45</v>
      </c>
      <c r="C3351" s="3" t="str">
        <f>"TFC000004815"</f>
        <v>TFC000004815</v>
      </c>
      <c r="D3351" s="3" t="str">
        <f>"F800-22-0553-(AR4.4)"</f>
        <v>F800-22-0553-(AR4.4)</v>
      </c>
      <c r="E3351" s="3" t="str">
        <f>"Scary Stories for Young Foxes"</f>
        <v>Scary Stories for Young Foxes</v>
      </c>
      <c r="F3351" s="3" t="str">
        <f>"by Christian McKay Heidicker, illustrated by Junyi Wu"</f>
        <v>by Christian McKay Heidicker, illustrated by Junyi Wu</v>
      </c>
      <c r="G3351" s="3" t="str">
        <f>"Square Fish"</f>
        <v>Square Fish</v>
      </c>
      <c r="H3351" s="2" t="str">
        <f>"2020"</f>
        <v>2020</v>
      </c>
      <c r="I3351" s="3" t="str">
        <f>""</f>
        <v/>
      </c>
    </row>
    <row r="3352" spans="1:9" x14ac:dyDescent="0.3">
      <c r="A3352" s="2">
        <v>3351</v>
      </c>
      <c r="B3352" s="4" t="s">
        <v>45</v>
      </c>
      <c r="C3352" s="3" t="str">
        <f>"TFC000003114"</f>
        <v>TFC000003114</v>
      </c>
      <c r="D3352" s="3" t="str">
        <f>"F900-20-2461-[4](AR 4.4)"</f>
        <v>F900-20-2461-[4](AR 4.4)</v>
      </c>
      <c r="E3352" s="3" t="str">
        <f>"Ella Fitzgerald"</f>
        <v>Ella Fitzgerald</v>
      </c>
      <c r="F3352" s="3" t="str">
        <f>"by Isabel Sanchez Vegara ; ill by Barbara Alca"</f>
        <v>by Isabel Sanchez Vegara ; ill by Barbara Alca</v>
      </c>
      <c r="G3352" s="3" t="str">
        <f>"Frances Lincoln Children&amp;apos;s"</f>
        <v>Frances Lincoln Children&amp;apos;s</v>
      </c>
      <c r="H3352" s="2" t="str">
        <f>"2018"</f>
        <v>2018</v>
      </c>
      <c r="I3352" s="3" t="str">
        <f>""</f>
        <v/>
      </c>
    </row>
    <row r="3353" spans="1:9" x14ac:dyDescent="0.3">
      <c r="A3353" s="2">
        <v>3352</v>
      </c>
      <c r="B3353" s="4" t="s">
        <v>45</v>
      </c>
      <c r="C3353" s="3" t="str">
        <f>"TFC000003117"</f>
        <v>TFC000003117</v>
      </c>
      <c r="D3353" s="3" t="str">
        <f>"F900-20-2462-[7](AR 4.4)"</f>
        <v>F900-20-2462-[7](AR 4.4)</v>
      </c>
      <c r="E3353" s="3" t="str">
        <f>"Audrey Hepburn"</f>
        <v>Audrey Hepburn</v>
      </c>
      <c r="F3353" s="3" t="str">
        <f>"written by Ma Isabel S?nchez Vegara ; illustrated by Amaia Arrazola"</f>
        <v>written by Ma Isabel S?nchez Vegara ; illustrated by Amaia Arrazola</v>
      </c>
      <c r="G3353" s="3" t="str">
        <f>"Frances Lincoln Publishers Ltd"</f>
        <v>Frances Lincoln Publishers Ltd</v>
      </c>
      <c r="H3353" s="2" t="str">
        <f>"2016"</f>
        <v>2016</v>
      </c>
      <c r="I3353" s="3" t="str">
        <f>""</f>
        <v/>
      </c>
    </row>
    <row r="3354" spans="1:9" x14ac:dyDescent="0.3">
      <c r="A3354" s="2">
        <v>3353</v>
      </c>
      <c r="B3354" s="4" t="s">
        <v>45</v>
      </c>
      <c r="C3354" s="3" t="str">
        <f>"TFC000002195"</f>
        <v>TFC000002195</v>
      </c>
      <c r="D3354" s="3" t="str">
        <f>"F800-20-2436-1(AR 4.4)"</f>
        <v>F800-20-2436-1(AR 4.4)</v>
      </c>
      <c r="E3354" s="3" t="str">
        <f>"Julian rodriguez. Episode one, trash crisis on earth"</f>
        <v>Julian rodriguez. Episode one, trash crisis on earth</v>
      </c>
      <c r="F3354" s="3" t="str">
        <f>"by Alexander Stadler"</f>
        <v>by Alexander Stadler</v>
      </c>
      <c r="G3354" s="3" t="str">
        <f>"Scholastic"</f>
        <v>Scholastic</v>
      </c>
      <c r="H3354" s="2" t="str">
        <f>"2009"</f>
        <v>2009</v>
      </c>
      <c r="I3354" s="3" t="str">
        <f>""</f>
        <v/>
      </c>
    </row>
    <row r="3355" spans="1:9" x14ac:dyDescent="0.3">
      <c r="A3355" s="2">
        <v>3354</v>
      </c>
      <c r="B3355" s="4" t="s">
        <v>45</v>
      </c>
      <c r="C3355" s="3" t="str">
        <f>"TFC000004734"</f>
        <v>TFC000004734</v>
      </c>
      <c r="D3355" s="3" t="str">
        <f>"F800-22-0524-10(AR 4.4)"</f>
        <v>F800-22-0524-10(AR 4.4)</v>
      </c>
      <c r="E3355" s="3" t="str">
        <f>"Dork diaries. 10, Puppy love"</f>
        <v>Dork diaries. 10, Puppy love</v>
      </c>
      <c r="F3355" s="3" t="str">
        <f>"by Rachel Renee Russell"</f>
        <v>by Rachel Renee Russell</v>
      </c>
      <c r="G3355" s="3" t="str">
        <f>"Simon &amp; Schuster"</f>
        <v>Simon &amp; Schuster</v>
      </c>
      <c r="H3355" s="2" t="str">
        <f>"2016"</f>
        <v>2016</v>
      </c>
      <c r="I3355" s="3" t="str">
        <f>""</f>
        <v/>
      </c>
    </row>
    <row r="3356" spans="1:9" x14ac:dyDescent="0.3">
      <c r="A3356" s="2">
        <v>3355</v>
      </c>
      <c r="B3356" s="4" t="s">
        <v>45</v>
      </c>
      <c r="C3356" s="3" t="str">
        <f>"TFC000003146"</f>
        <v>TFC000003146</v>
      </c>
      <c r="D3356" s="3" t="str">
        <f>"F800-20-2454-10(AR 4.4)"</f>
        <v>F800-20-2454-10(AR 4.4)</v>
      </c>
      <c r="E3356" s="3" t="str">
        <f>"Dork diaries. 10, tales from a not-so-perfect pet sitter"</f>
        <v>Dork diaries. 10, tales from a not-so-perfect pet sitter</v>
      </c>
      <c r="F3356" s="3" t="str">
        <f>"Rachel Renee Russell, Nikki Russell, Erin Russell"</f>
        <v>Rachel Renee Russell, Nikki Russell, Erin Russell</v>
      </c>
      <c r="G3356" s="3" t="str">
        <f>"Aladdin"</f>
        <v>Aladdin</v>
      </c>
      <c r="H3356" s="2" t="str">
        <f>"2015"</f>
        <v>2015</v>
      </c>
      <c r="I3356" s="3" t="str">
        <f>""</f>
        <v/>
      </c>
    </row>
    <row r="3357" spans="1:9" x14ac:dyDescent="0.3">
      <c r="A3357" s="2">
        <v>3356</v>
      </c>
      <c r="B3357" s="4">
        <v>4.4000000000000004</v>
      </c>
      <c r="C3357" s="3" t="str">
        <f>"TFC000002196"</f>
        <v>TFC000002196</v>
      </c>
      <c r="D3357" s="3" t="str">
        <f>"F800-20-2437-2(AR 4.4)"</f>
        <v>F800-20-2437-2(AR 4.4)</v>
      </c>
      <c r="E3357" s="3" t="str">
        <f>"Julian rodriguez. Episode two, invasion of the relatives"</f>
        <v>Julian rodriguez. Episode two, invasion of the relatives</v>
      </c>
      <c r="F3357" s="3" t="str">
        <f>"by Alexander Stadler"</f>
        <v>by Alexander Stadler</v>
      </c>
      <c r="G3357" s="3" t="str">
        <f>"Scholastic"</f>
        <v>Scholastic</v>
      </c>
      <c r="H3357" s="2" t="str">
        <f>"2009"</f>
        <v>2009</v>
      </c>
      <c r="I3357" s="3" t="str">
        <f>""</f>
        <v/>
      </c>
    </row>
    <row r="3358" spans="1:9" x14ac:dyDescent="0.3">
      <c r="A3358" s="2">
        <v>3357</v>
      </c>
      <c r="B3358" s="4">
        <v>4.4000000000000004</v>
      </c>
      <c r="C3358" s="3" t="str">
        <f>"TFC000002197"</f>
        <v>TFC000002197</v>
      </c>
      <c r="D3358" s="3" t="str">
        <f>"F800-20-2438-3(AR 4.4)"</f>
        <v>F800-20-2438-3(AR 4.4)</v>
      </c>
      <c r="E3358" s="3" t="str">
        <f>"(The)39 clues. 3, the sword thief"</f>
        <v>(The)39 clues. 3, the sword thief</v>
      </c>
      <c r="F3358" s="3" t="str">
        <f>"Peter Lerangis"</f>
        <v>Peter Lerangis</v>
      </c>
      <c r="G3358" s="3" t="str">
        <f>"Scholastic"</f>
        <v>Scholastic</v>
      </c>
      <c r="H3358" s="2" t="str">
        <f>"2009"</f>
        <v>2009</v>
      </c>
      <c r="I3358" s="3" t="str">
        <f>""</f>
        <v/>
      </c>
    </row>
    <row r="3359" spans="1:9" x14ac:dyDescent="0.3">
      <c r="A3359" s="2">
        <v>3358</v>
      </c>
      <c r="B3359" s="4" t="s">
        <v>46</v>
      </c>
      <c r="C3359" s="3" t="str">
        <f>"TFC000002209"</f>
        <v>TFC000002209</v>
      </c>
      <c r="D3359" s="3" t="str">
        <f>"F500-20-2465-(AR 4.5)"</f>
        <v>F500-20-2465-(AR 4.5)</v>
      </c>
      <c r="E3359" s="3" t="str">
        <f>"(The story of)flying"</f>
        <v>(The story of)flying</v>
      </c>
      <c r="F3359" s="3" t="str">
        <f>"Lesley Sims ; illustrated by Stephen Cartwright"</f>
        <v>Lesley Sims ; illustrated by Stephen Cartwright</v>
      </c>
      <c r="G3359" s="3" t="str">
        <f>"Usborne"</f>
        <v>Usborne</v>
      </c>
      <c r="H3359" s="2" t="str">
        <f>"2007"</f>
        <v>2007</v>
      </c>
      <c r="I3359" s="3" t="str">
        <f>""</f>
        <v/>
      </c>
    </row>
    <row r="3360" spans="1:9" x14ac:dyDescent="0.3">
      <c r="A3360" s="2">
        <v>3359</v>
      </c>
      <c r="B3360" s="4" t="s">
        <v>46</v>
      </c>
      <c r="C3360" s="3" t="str">
        <f>"TFC000002210"</f>
        <v>TFC000002210</v>
      </c>
      <c r="D3360" s="3" t="str">
        <f>"F800-20-2467-(AR 4.5)"</f>
        <v>F800-20-2467-(AR 4.5)</v>
      </c>
      <c r="E3360" s="3" t="str">
        <f>"Ox-cart man"</f>
        <v>Ox-cart man</v>
      </c>
      <c r="F3360" s="3" t="str">
        <f>"by Donald Hall ; pictures by Barbara Cooney"</f>
        <v>by Donald Hall ; pictures by Barbara Cooney</v>
      </c>
      <c r="G3360" s="3" t="str">
        <f>"Puffin Books"</f>
        <v>Puffin Books</v>
      </c>
      <c r="H3360" s="2" t="str">
        <f>"1983"</f>
        <v>1983</v>
      </c>
      <c r="I3360" s="3" t="str">
        <f>""</f>
        <v/>
      </c>
    </row>
    <row r="3361" spans="1:9" x14ac:dyDescent="0.3">
      <c r="A3361" s="2">
        <v>3360</v>
      </c>
      <c r="B3361" s="4" t="s">
        <v>46</v>
      </c>
      <c r="C3361" s="3" t="str">
        <f>"TFC000002211"</f>
        <v>TFC000002211</v>
      </c>
      <c r="D3361" s="3" t="str">
        <f>"F800-20-2468-(AR 4.5)"</f>
        <v>F800-20-2468-(AR 4.5)</v>
      </c>
      <c r="E3361" s="3" t="str">
        <f>"Jennifer, Hecate, Macbeth, William McKinley, and me"</f>
        <v>Jennifer, Hecate, Macbeth, William McKinley, and me</v>
      </c>
      <c r="F3361" s="3" t="str">
        <f>"by E.L. Konigsburg"</f>
        <v>by E.L. Konigsburg</v>
      </c>
      <c r="G3361" s="3" t="str">
        <f>"Aladdin Paperbacks"</f>
        <v>Aladdin Paperbacks</v>
      </c>
      <c r="H3361" s="2" t="str">
        <f>"2007"</f>
        <v>2007</v>
      </c>
      <c r="I3361" s="3" t="str">
        <f>""</f>
        <v/>
      </c>
    </row>
    <row r="3362" spans="1:9" x14ac:dyDescent="0.3">
      <c r="A3362" s="2">
        <v>3361</v>
      </c>
      <c r="B3362" s="4" t="s">
        <v>46</v>
      </c>
      <c r="C3362" s="3" t="str">
        <f>"TFC000002213"</f>
        <v>TFC000002213</v>
      </c>
      <c r="D3362" s="3" t="str">
        <f>"F800-20-2470-(AR 4.5)"</f>
        <v>F800-20-2470-(AR 4.5)</v>
      </c>
      <c r="E3362" s="3" t="str">
        <f>"(A)year down yonder"</f>
        <v>(A)year down yonder</v>
      </c>
      <c r="F3362" s="3" t="str">
        <f>"Richard Peck"</f>
        <v>Richard Peck</v>
      </c>
      <c r="G3362" s="3" t="str">
        <f>"Puffin Books"</f>
        <v>Puffin Books</v>
      </c>
      <c r="H3362" s="2" t="str">
        <f>"2011"</f>
        <v>2011</v>
      </c>
      <c r="I3362" s="3" t="str">
        <f>""</f>
        <v/>
      </c>
    </row>
    <row r="3363" spans="1:9" x14ac:dyDescent="0.3">
      <c r="A3363" s="2">
        <v>3362</v>
      </c>
      <c r="B3363" s="4" t="s">
        <v>46</v>
      </c>
      <c r="C3363" s="3" t="str">
        <f>"TFC000002214"</f>
        <v>TFC000002214</v>
      </c>
      <c r="D3363" s="3" t="str">
        <f>"F800-20-2471-(AR 4.5)"</f>
        <v>F800-20-2471-(AR 4.5)</v>
      </c>
      <c r="E3363" s="3" t="str">
        <f>"Franny K. Stein mad scientist. 4, the fran that time forgot"</f>
        <v>Franny K. Stein mad scientist. 4, the fran that time forgot</v>
      </c>
      <c r="F3363" s="3" t="str">
        <f>"Jim Benton"</f>
        <v>Jim Benton</v>
      </c>
      <c r="G3363" s="3" t="str">
        <f>"Simon &amp; Schuster"</f>
        <v>Simon &amp; Schuster</v>
      </c>
      <c r="H3363" s="2" t="str">
        <f>"2005"</f>
        <v>2005</v>
      </c>
      <c r="I3363" s="3" t="str">
        <f>""</f>
        <v/>
      </c>
    </row>
    <row r="3364" spans="1:9" x14ac:dyDescent="0.3">
      <c r="A3364" s="2">
        <v>3363</v>
      </c>
      <c r="B3364" s="4" t="s">
        <v>46</v>
      </c>
      <c r="C3364" s="3" t="str">
        <f>"TFC000002215"</f>
        <v>TFC000002215</v>
      </c>
      <c r="D3364" s="3" t="str">
        <f>"F800-20-2472-(AR 4.5)"</f>
        <v>F800-20-2472-(AR 4.5)</v>
      </c>
      <c r="E3364" s="3" t="str">
        <f>"(Disney·Pixar)inside out : the junior novelization"</f>
        <v>(Disney·Pixar)inside out : the junior novelization</v>
      </c>
      <c r="F3364" s="3" t="str">
        <f>"adapted by Suzanne Francis"</f>
        <v>adapted by Suzanne Francis</v>
      </c>
      <c r="G3364" s="3" t="str">
        <f>"Random House"</f>
        <v>Random House</v>
      </c>
      <c r="H3364" s="2" t="str">
        <f>"2015"</f>
        <v>2015</v>
      </c>
      <c r="I3364" s="3" t="str">
        <f>""</f>
        <v/>
      </c>
    </row>
    <row r="3365" spans="1:9" x14ac:dyDescent="0.3">
      <c r="A3365" s="2">
        <v>3364</v>
      </c>
      <c r="B3365" s="4" t="s">
        <v>46</v>
      </c>
      <c r="C3365" s="3" t="str">
        <f>"TFC000002218"</f>
        <v>TFC000002218</v>
      </c>
      <c r="D3365" s="3" t="str">
        <f>"F800-20-2475-(AR 4.5)"</f>
        <v>F800-20-2475-(AR 4.5)</v>
      </c>
      <c r="E3365" s="3" t="str">
        <f>"(The)liberation of Gabriel King"</f>
        <v>(The)liberation of Gabriel King</v>
      </c>
      <c r="F3365" s="3" t="str">
        <f>"K. L. Going"</f>
        <v>K. L. Going</v>
      </c>
      <c r="G3365" s="3" t="str">
        <f>"Puffin Books"</f>
        <v>Puffin Books</v>
      </c>
      <c r="H3365" s="2" t="str">
        <f>"2007"</f>
        <v>2007</v>
      </c>
      <c r="I3365" s="3" t="str">
        <f>""</f>
        <v/>
      </c>
    </row>
    <row r="3366" spans="1:9" x14ac:dyDescent="0.3">
      <c r="A3366" s="2">
        <v>3365</v>
      </c>
      <c r="B3366" s="4" t="s">
        <v>46</v>
      </c>
      <c r="C3366" s="3" t="str">
        <f>"TFC000002219"</f>
        <v>TFC000002219</v>
      </c>
      <c r="D3366" s="3" t="str">
        <f>"F800-20-2476-(AR 4.5)"</f>
        <v>F800-20-2476-(AR 4.5)</v>
      </c>
      <c r="E3366" s="3" t="str">
        <f>"Seeing stars"</f>
        <v>Seeing stars</v>
      </c>
      <c r="F3366" s="3" t="str">
        <f>"by Rosanna Hansen ; illustrated by Greg Harris"</f>
        <v>by Rosanna Hansen ; illustrated by Greg Harris</v>
      </c>
      <c r="G3366" s="3" t="str">
        <f>"Scholastic"</f>
        <v>Scholastic</v>
      </c>
      <c r="H3366" s="2" t="str">
        <f>"2002"</f>
        <v>2002</v>
      </c>
      <c r="I3366" s="3" t="str">
        <f>""</f>
        <v/>
      </c>
    </row>
    <row r="3367" spans="1:9" x14ac:dyDescent="0.3">
      <c r="A3367" s="2">
        <v>3366</v>
      </c>
      <c r="B3367" s="4" t="s">
        <v>46</v>
      </c>
      <c r="C3367" s="3" t="str">
        <f>"TFC000002221"</f>
        <v>TFC000002221</v>
      </c>
      <c r="D3367" s="3" t="str">
        <f>"F800-20-2478-(AR 4.5)"</f>
        <v>F800-20-2478-(AR 4.5)</v>
      </c>
      <c r="E3367" s="3" t="str">
        <f>"Number the stars"</f>
        <v>Number the stars</v>
      </c>
      <c r="F3367" s="3" t="str">
        <f>"by Lois Lowry"</f>
        <v>by Lois Lowry</v>
      </c>
      <c r="G3367" s="3" t="str">
        <f>"Houghton Mifflin Harcourt"</f>
        <v>Houghton Mifflin Harcourt</v>
      </c>
      <c r="H3367" s="2" t="str">
        <f>"2010"</f>
        <v>2010</v>
      </c>
      <c r="I3367" s="3" t="str">
        <f>""</f>
        <v/>
      </c>
    </row>
    <row r="3368" spans="1:9" x14ac:dyDescent="0.3">
      <c r="A3368" s="2">
        <v>3367</v>
      </c>
      <c r="B3368" s="4" t="s">
        <v>46</v>
      </c>
      <c r="C3368" s="3" t="str">
        <f>"TFC000002225"</f>
        <v>TFC000002225</v>
      </c>
      <c r="D3368" s="3" t="str">
        <f>"F800-20-2482-(AR 4.5)"</f>
        <v>F800-20-2482-(AR 4.5)</v>
      </c>
      <c r="E3368" s="3" t="str">
        <f>"Clementine"</f>
        <v>Clementine</v>
      </c>
      <c r="F3368" s="3" t="str">
        <f>"Sara Pennypacker ; pictures by Marla Frazee"</f>
        <v>Sara Pennypacker ; pictures by Marla Frazee</v>
      </c>
      <c r="G3368" s="3" t="str">
        <f>"Hyperion Books for Children"</f>
        <v>Hyperion Books for Children</v>
      </c>
      <c r="H3368" s="2" t="str">
        <f>"2008"</f>
        <v>2008</v>
      </c>
      <c r="I3368" s="3" t="str">
        <f>""</f>
        <v/>
      </c>
    </row>
    <row r="3369" spans="1:9" x14ac:dyDescent="0.3">
      <c r="A3369" s="2">
        <v>3368</v>
      </c>
      <c r="B3369" s="4" t="s">
        <v>46</v>
      </c>
      <c r="C3369" s="3" t="str">
        <f>"TFC000002226"</f>
        <v>TFC000002226</v>
      </c>
      <c r="D3369" s="3" t="str">
        <f>"F800-20-2483-(AR 4.5)"</f>
        <v>F800-20-2483-(AR 4.5)</v>
      </c>
      <c r="E3369" s="3" t="str">
        <f>"Chicks and salsa"</f>
        <v>Chicks and salsa</v>
      </c>
      <c r="F3369" s="3" t="str">
        <f>"by Aaron Reynolds ; illustrated by Paulette Bogan"</f>
        <v>by Aaron Reynolds ; illustrated by Paulette Bogan</v>
      </c>
      <c r="G3369" s="3" t="str">
        <f>"Bloomsbury"</f>
        <v>Bloomsbury</v>
      </c>
      <c r="H3369" s="2" t="str">
        <f>"2007"</f>
        <v>2007</v>
      </c>
      <c r="I3369" s="3" t="str">
        <f>""</f>
        <v/>
      </c>
    </row>
    <row r="3370" spans="1:9" x14ac:dyDescent="0.3">
      <c r="A3370" s="2">
        <v>3369</v>
      </c>
      <c r="B3370" s="4" t="s">
        <v>46</v>
      </c>
      <c r="C3370" s="3" t="str">
        <f>"TFC000002227"</f>
        <v>TFC000002227</v>
      </c>
      <c r="D3370" s="3" t="str">
        <f>"F800-20-2484-(AR 4.5)"</f>
        <v>F800-20-2484-(AR 4.5)</v>
      </c>
      <c r="E3370" s="3" t="str">
        <f>"Dork diaries. 4, tales from a not-so-graceful ice princess"</f>
        <v>Dork diaries. 4, tales from a not-so-graceful ice princess</v>
      </c>
      <c r="F3370" s="3" t="str">
        <f>"Rachel Renee Russell"</f>
        <v>Rachel Renee Russell</v>
      </c>
      <c r="G3370" s="3" t="str">
        <f>"Aladdin"</f>
        <v>Aladdin</v>
      </c>
      <c r="H3370" s="2" t="str">
        <f>"2012"</f>
        <v>2012</v>
      </c>
      <c r="I3370" s="3" t="str">
        <f>""</f>
        <v/>
      </c>
    </row>
    <row r="3371" spans="1:9" x14ac:dyDescent="0.3">
      <c r="A3371" s="2">
        <v>3370</v>
      </c>
      <c r="B3371" s="4" t="s">
        <v>46</v>
      </c>
      <c r="C3371" s="3" t="str">
        <f>"TFC000002228"</f>
        <v>TFC000002228</v>
      </c>
      <c r="D3371" s="3" t="str">
        <f>"F800-20-2485-(AR 4.5)"</f>
        <v>F800-20-2485-(AR 4.5)</v>
      </c>
      <c r="E3371" s="3" t="str">
        <f>"Wringer"</f>
        <v>Wringer</v>
      </c>
      <c r="F3371" s="3" t="str">
        <f>"Jerry Spinelli"</f>
        <v>Jerry Spinelli</v>
      </c>
      <c r="G3371" s="3" t="str">
        <f>"Harper"</f>
        <v>Harper</v>
      </c>
      <c r="H3371" s="2" t="str">
        <f>"2018"</f>
        <v>2018</v>
      </c>
      <c r="I3371" s="3" t="str">
        <f>""</f>
        <v/>
      </c>
    </row>
    <row r="3372" spans="1:9" x14ac:dyDescent="0.3">
      <c r="A3372" s="2">
        <v>3371</v>
      </c>
      <c r="B3372" s="4" t="s">
        <v>46</v>
      </c>
      <c r="C3372" s="3" t="str">
        <f>"TFC000002229"</f>
        <v>TFC000002229</v>
      </c>
      <c r="D3372" s="3" t="str">
        <f>"F800-20-2486-(AR 4.5)"</f>
        <v>F800-20-2486-(AR 4.5)</v>
      </c>
      <c r="E3372" s="3" t="str">
        <f>"When you reach me"</f>
        <v>When you reach me</v>
      </c>
      <c r="F3372" s="3" t="str">
        <f>"Rebecca Stead"</f>
        <v>Rebecca Stead</v>
      </c>
      <c r="G3372" s="3" t="str">
        <f>"Yearing Book"</f>
        <v>Yearing Book</v>
      </c>
      <c r="H3372" s="2" t="str">
        <f>"2017"</f>
        <v>2017</v>
      </c>
      <c r="I3372" s="3" t="str">
        <f>""</f>
        <v/>
      </c>
    </row>
    <row r="3373" spans="1:9" x14ac:dyDescent="0.3">
      <c r="A3373" s="2">
        <v>3372</v>
      </c>
      <c r="B3373" s="4" t="s">
        <v>46</v>
      </c>
      <c r="C3373" s="3" t="str">
        <f>"TFC000002230"</f>
        <v>TFC000002230</v>
      </c>
      <c r="D3373" s="3" t="str">
        <f>"F800-20-2487-(AR 4.5)"</f>
        <v>F800-20-2487-(AR 4.5)</v>
      </c>
      <c r="E3373" s="3" t="str">
        <f>"(The)ugly duckling"</f>
        <v>(The)ugly duckling</v>
      </c>
      <c r="F3373" s="3" t="str">
        <f>"Hans Christian Andersen ; adapted and illustrated by Jerry Pinkney"</f>
        <v>Hans Christian Andersen ; adapted and illustrated by Jerry Pinkney</v>
      </c>
      <c r="G3373" s="3" t="str">
        <f>"Morrow Junior Books"</f>
        <v>Morrow Junior Books</v>
      </c>
      <c r="H3373" s="2" t="str">
        <f>"1999"</f>
        <v>1999</v>
      </c>
      <c r="I3373" s="3" t="str">
        <f>""</f>
        <v/>
      </c>
    </row>
    <row r="3374" spans="1:9" x14ac:dyDescent="0.3">
      <c r="A3374" s="2">
        <v>3373</v>
      </c>
      <c r="B3374" s="4" t="s">
        <v>46</v>
      </c>
      <c r="C3374" s="3" t="str">
        <f>"TFC000002231"</f>
        <v>TFC000002231</v>
      </c>
      <c r="D3374" s="3" t="str">
        <f>"F800-20-2488-(AR 4.5)"</f>
        <v>F800-20-2488-(AR 4.5)</v>
      </c>
      <c r="E3374" s="3" t="str">
        <f>"(The)dance of the star fairies"</f>
        <v>(The)dance of the star fairies</v>
      </c>
      <c r="F3374" s="3" t="str">
        <f>"Thea Stilton ; illustrations by Giuseppe Facciotto...[et al.] ; translated by Julia Heim"</f>
        <v>Thea Stilton ; illustrations by Giuseppe Facciotto...[et al.] ; translated by Julia Heim</v>
      </c>
      <c r="G3374" s="3" t="str">
        <f>"Scholastic"</f>
        <v>Scholastic</v>
      </c>
      <c r="H3374" s="2" t="str">
        <f>"2019"</f>
        <v>2019</v>
      </c>
      <c r="I3374" s="3" t="str">
        <f>""</f>
        <v/>
      </c>
    </row>
    <row r="3375" spans="1:9" x14ac:dyDescent="0.3">
      <c r="A3375" s="2">
        <v>3374</v>
      </c>
      <c r="B3375" s="4" t="s">
        <v>46</v>
      </c>
      <c r="C3375" s="3" t="str">
        <f>"TFC000002232"</f>
        <v>TFC000002232</v>
      </c>
      <c r="D3375" s="3" t="str">
        <f>"F800-20-2489-(AR 4.5)"</f>
        <v>F800-20-2489-(AR 4.5)</v>
      </c>
      <c r="E3375" s="3" t="str">
        <f>"Island of Dragons : the twelfth adventure in the Kingdom of Fantasy"</f>
        <v>Island of Dragons : the twelfth adventure in the Kingdom of Fantasy</v>
      </c>
      <c r="F3375" s="3" t="str">
        <f>"Geronimo Stilton ; illustrations by Silvia Bigolin...[et al.] ; translated by Julia Heim"</f>
        <v>Geronimo Stilton ; illustrations by Silvia Bigolin...[et al.] ; translated by Julia Heim</v>
      </c>
      <c r="G3375" s="3" t="str">
        <f>"Scholastic"</f>
        <v>Scholastic</v>
      </c>
      <c r="H3375" s="2" t="str">
        <f>"2019"</f>
        <v>2019</v>
      </c>
      <c r="I3375" s="3" t="str">
        <f>""</f>
        <v/>
      </c>
    </row>
    <row r="3376" spans="1:9" x14ac:dyDescent="0.3">
      <c r="A3376" s="2">
        <v>3375</v>
      </c>
      <c r="B3376" s="4" t="s">
        <v>46</v>
      </c>
      <c r="C3376" s="3" t="str">
        <f>"TFC000002233"</f>
        <v>TFC000002233</v>
      </c>
      <c r="D3376" s="3" t="str">
        <f>"F900-20-2497-(AR 4.5)"</f>
        <v>F900-20-2497-(AR 4.5)</v>
      </c>
      <c r="E3376" s="3" t="str">
        <f>"American revolution : revolutionary war on wednesday"</f>
        <v>American revolution : revolutionary war on wednesday</v>
      </c>
      <c r="F3376" s="3" t="str">
        <f>"by Mary Pope Osborne, Natalie Pope Boyce ; illustrated by Sal Murdocca"</f>
        <v>by Mary Pope Osborne, Natalie Pope Boyce ; illustrated by Sal Murdocca</v>
      </c>
      <c r="G3376" s="3" t="str">
        <f>"Random House"</f>
        <v>Random House</v>
      </c>
      <c r="H3376" s="2" t="str">
        <f>"2011"</f>
        <v>2011</v>
      </c>
      <c r="I3376" s="3" t="str">
        <f>""</f>
        <v/>
      </c>
    </row>
    <row r="3377" spans="1:9" x14ac:dyDescent="0.3">
      <c r="A3377" s="2">
        <v>3376</v>
      </c>
      <c r="B3377" s="4" t="s">
        <v>46</v>
      </c>
      <c r="C3377" s="3" t="str">
        <f>"TFC000002234"</f>
        <v>TFC000002234</v>
      </c>
      <c r="D3377" s="3" t="str">
        <f>"F900-20-2498-(AR 4.5)"</f>
        <v>F900-20-2498-(AR 4.5)</v>
      </c>
      <c r="E3377" s="3" t="str">
        <f>"Who was Alexander the Great?"</f>
        <v>Who was Alexander the Great?</v>
      </c>
      <c r="F3377" s="3" t="str">
        <f>"by Kathryn Waterfield, Robin Waterfield ; illustrated by Andrew Thomson"</f>
        <v>by Kathryn Waterfield, Robin Waterfield ; illustrated by Andrew Thomson</v>
      </c>
      <c r="G3377" s="3" t="str">
        <f>"Penguin Workshop"</f>
        <v>Penguin Workshop</v>
      </c>
      <c r="H3377" s="2" t="str">
        <f>"2016"</f>
        <v>2016</v>
      </c>
      <c r="I3377" s="3" t="str">
        <f>""</f>
        <v/>
      </c>
    </row>
    <row r="3378" spans="1:9" x14ac:dyDescent="0.3">
      <c r="A3378" s="2">
        <v>3377</v>
      </c>
      <c r="B3378" s="4" t="s">
        <v>46</v>
      </c>
      <c r="C3378" s="3" t="str">
        <f>"TFC000002235"</f>
        <v>TFC000002235</v>
      </c>
      <c r="D3378" s="3" t="str">
        <f>"F900-20-2499-(AR 4.5)"</f>
        <v>F900-20-2499-(AR 4.5)</v>
      </c>
      <c r="E3378" s="3" t="str">
        <f>"Who was Eleanor Roosevelt?"</f>
        <v>Who was Eleanor Roosevelt?</v>
      </c>
      <c r="F3378" s="3" t="str">
        <f>"by Gare Thompson ; illustrated by Elizabeth Wolf"</f>
        <v>by Gare Thompson ; illustrated by Elizabeth Wolf</v>
      </c>
      <c r="G3378" s="3" t="str">
        <f>"Grosset &amp; Dunlap"</f>
        <v>Grosset &amp; Dunlap</v>
      </c>
      <c r="H3378" s="2" t="str">
        <f>"2004"</f>
        <v>2004</v>
      </c>
      <c r="I3378" s="3" t="str">
        <f>""</f>
        <v/>
      </c>
    </row>
    <row r="3379" spans="1:9" x14ac:dyDescent="0.3">
      <c r="A3379" s="2">
        <v>3378</v>
      </c>
      <c r="B3379" s="4" t="s">
        <v>46</v>
      </c>
      <c r="C3379" s="3" t="str">
        <f>"TFC000002236"</f>
        <v>TFC000002236</v>
      </c>
      <c r="D3379" s="3" t="str">
        <f>"F900-20-2500-(AR 4.5)"</f>
        <v>F900-20-2500-(AR 4.5)</v>
      </c>
      <c r="E3379" s="3" t="str">
        <f>"Who was Daniel Boone?"</f>
        <v>Who was Daniel Boone?</v>
      </c>
      <c r="F3379" s="3" t="str">
        <f>"by Sydelle Kramer ; illustrated by George Ulrich"</f>
        <v>by Sydelle Kramer ; illustrated by George Ulrich</v>
      </c>
      <c r="G3379" s="3" t="str">
        <f>"Grosset &amp; Dunlap"</f>
        <v>Grosset &amp; Dunlap</v>
      </c>
      <c r="H3379" s="2" t="str">
        <f>"2006"</f>
        <v>2006</v>
      </c>
      <c r="I3379" s="3" t="str">
        <f>""</f>
        <v/>
      </c>
    </row>
    <row r="3380" spans="1:9" x14ac:dyDescent="0.3">
      <c r="A3380" s="2">
        <v>3379</v>
      </c>
      <c r="B3380" s="4" t="s">
        <v>46</v>
      </c>
      <c r="C3380" s="3" t="str">
        <f>"TFC000002237"</f>
        <v>TFC000002237</v>
      </c>
      <c r="D3380" s="3" t="str">
        <f>"F900-20-2501-(AR 4.5)"</f>
        <v>F900-20-2501-(AR 4.5)</v>
      </c>
      <c r="E3380" s="3" t="str">
        <f>"Joan Procter, dragon doctor : the woman who loved reptiles"</f>
        <v>Joan Procter, dragon doctor : the woman who loved reptiles</v>
      </c>
      <c r="F3380" s="3" t="str">
        <f>"written by Patricia Valdezl ; illustrated by Felicita Sala"</f>
        <v>written by Patricia Valdezl ; illustrated by Felicita Sala</v>
      </c>
      <c r="G3380" s="3" t="str">
        <f>"Alfred A. Knopf"</f>
        <v>Alfred A. Knopf</v>
      </c>
      <c r="H3380" s="2" t="str">
        <f>"2018"</f>
        <v>2018</v>
      </c>
      <c r="I3380" s="3" t="str">
        <f>""</f>
        <v/>
      </c>
    </row>
    <row r="3381" spans="1:9" x14ac:dyDescent="0.3">
      <c r="A3381" s="2">
        <v>3380</v>
      </c>
      <c r="B3381" s="4" t="s">
        <v>46</v>
      </c>
      <c r="C3381" s="3" t="str">
        <f>"TFC000002238"</f>
        <v>TFC000002238</v>
      </c>
      <c r="D3381" s="3" t="str">
        <f>"F900-20-2502-(AR 4.5)"</f>
        <v>F900-20-2502-(AR 4.5)</v>
      </c>
      <c r="E3381" s="3" t="str">
        <f>"Who were the Beatles?"</f>
        <v>Who were the Beatles?</v>
      </c>
      <c r="F3381" s="3" t="str">
        <f>"by Geoff Edgers ; illustrated by Jeremy Tugeau"</f>
        <v>by Geoff Edgers ; illustrated by Jeremy Tugeau</v>
      </c>
      <c r="G3381" s="3" t="str">
        <f>"Grosset &amp; Dunlap"</f>
        <v>Grosset &amp; Dunlap</v>
      </c>
      <c r="H3381" s="2" t="str">
        <f>"2006"</f>
        <v>2006</v>
      </c>
      <c r="I3381" s="3" t="str">
        <f>""</f>
        <v/>
      </c>
    </row>
    <row r="3382" spans="1:9" x14ac:dyDescent="0.3">
      <c r="A3382" s="2">
        <v>3381</v>
      </c>
      <c r="B3382" s="4" t="s">
        <v>46</v>
      </c>
      <c r="C3382" s="3" t="str">
        <f>"TFC000002240"</f>
        <v>TFC000002240</v>
      </c>
      <c r="D3382" s="3" t="str">
        <f>"F900-20-2504-(AR 4.5)"</f>
        <v>F900-20-2504-(AR 4.5)</v>
      </c>
      <c r="E3382" s="3" t="str">
        <f>"Who was Jackie Robinson?"</f>
        <v>Who was Jackie Robinson?</v>
      </c>
      <c r="F3382" s="3" t="str">
        <f>"by Gail Herman ; illustrated by John O'Brien"</f>
        <v>by Gail Herman ; illustrated by John O'Brien</v>
      </c>
      <c r="G3382" s="3" t="str">
        <f>"Grosset &amp; Dunlap"</f>
        <v>Grosset &amp; Dunlap</v>
      </c>
      <c r="H3382" s="2" t="str">
        <f>"2010"</f>
        <v>2010</v>
      </c>
      <c r="I3382" s="3" t="str">
        <f>""</f>
        <v/>
      </c>
    </row>
    <row r="3383" spans="1:9" x14ac:dyDescent="0.3">
      <c r="A3383" s="2">
        <v>3382</v>
      </c>
      <c r="B3383" s="4" t="s">
        <v>46</v>
      </c>
      <c r="C3383" s="3" t="str">
        <f>"TFC000002241"</f>
        <v>TFC000002241</v>
      </c>
      <c r="D3383" s="3" t="str">
        <f>"F900-20-2505-(AR 4.5)"</f>
        <v>F900-20-2505-(AR 4.5)</v>
      </c>
      <c r="E3383" s="3" t="str">
        <f>"Who is Derek Jeter?"</f>
        <v>Who is Derek Jeter?</v>
      </c>
      <c r="F3383" s="3" t="str">
        <f>"by Gail Herman ; illustrated by Andrew Thomson"</f>
        <v>by Gail Herman ; illustrated by Andrew Thomson</v>
      </c>
      <c r="G3383" s="3" t="str">
        <f>"Penguin Workshop"</f>
        <v>Penguin Workshop</v>
      </c>
      <c r="H3383" s="2" t="str">
        <f>"2015"</f>
        <v>2015</v>
      </c>
      <c r="I3383" s="3" t="str">
        <f>""</f>
        <v/>
      </c>
    </row>
    <row r="3384" spans="1:9" x14ac:dyDescent="0.3">
      <c r="A3384" s="2">
        <v>3383</v>
      </c>
      <c r="B3384" s="4" t="s">
        <v>46</v>
      </c>
      <c r="C3384" s="3" t="str">
        <f>"TFC000002902"</f>
        <v>TFC000002902</v>
      </c>
      <c r="D3384" s="3" t="str">
        <f>"F500-20-2466-(AR 4.5)"</f>
        <v>F500-20-2466-(AR 4.5)</v>
      </c>
      <c r="E3384" s="3" t="str">
        <f>"Ten true animal rescues"</f>
        <v>Ten true animal rescues</v>
      </c>
      <c r="F3384" s="3" t="str">
        <f>"Jeanne Betancourt"</f>
        <v>Jeanne Betancourt</v>
      </c>
      <c r="G3384" s="3" t="str">
        <f>"Scholastic"</f>
        <v>Scholastic</v>
      </c>
      <c r="H3384" s="2" t="str">
        <f>"1998"</f>
        <v>1998</v>
      </c>
      <c r="I3384" s="3" t="str">
        <f>""</f>
        <v/>
      </c>
    </row>
    <row r="3385" spans="1:9" x14ac:dyDescent="0.3">
      <c r="A3385" s="2">
        <v>3384</v>
      </c>
      <c r="B3385" s="4" t="s">
        <v>46</v>
      </c>
      <c r="C3385" s="3" t="str">
        <f>"TFC000002973"</f>
        <v>TFC000002973</v>
      </c>
      <c r="D3385" s="3" t="str">
        <f>"F800-20-2490-(AR 4.5)"</f>
        <v>F800-20-2490-(AR 4.5)</v>
      </c>
      <c r="E3385" s="3" t="str">
        <f>"(The)big one-oh"</f>
        <v>(The)big one-oh</v>
      </c>
      <c r="F3385" s="3" t="str">
        <f>"Dean Pitchford"</f>
        <v>Dean Pitchford</v>
      </c>
      <c r="G3385" s="3" t="str">
        <f>"Puffin Books"</f>
        <v>Puffin Books</v>
      </c>
      <c r="H3385" s="2" t="str">
        <f>"2009"</f>
        <v>2009</v>
      </c>
      <c r="I3385" s="3" t="str">
        <f>""</f>
        <v/>
      </c>
    </row>
    <row r="3386" spans="1:9" x14ac:dyDescent="0.3">
      <c r="A3386" s="2">
        <v>3385</v>
      </c>
      <c r="B3386" s="4" t="s">
        <v>46</v>
      </c>
      <c r="C3386" s="3" t="str">
        <f>"TFC000003046"</f>
        <v>TFC000003046</v>
      </c>
      <c r="D3386" s="3" t="str">
        <f>"F800-20-2491-(AR 4.5)"</f>
        <v>F800-20-2491-(AR 4.5)</v>
      </c>
      <c r="E3386" s="3" t="str">
        <f>"(The)worst years of my life"</f>
        <v>(The)worst years of my life</v>
      </c>
      <c r="F3386" s="3" t="str">
        <f>"James Patterson, Chris Tebbetts ; illustrated by Laura Park"</f>
        <v>James Patterson, Chris Tebbetts ; illustrated by Laura Park</v>
      </c>
      <c r="G3386" s="3" t="str">
        <f>"Little, Brown and Company"</f>
        <v>Little, Brown and Company</v>
      </c>
      <c r="H3386" s="2" t="str">
        <f>"2014"</f>
        <v>2014</v>
      </c>
      <c r="I3386" s="3" t="str">
        <f>""</f>
        <v/>
      </c>
    </row>
    <row r="3387" spans="1:9" x14ac:dyDescent="0.3">
      <c r="A3387" s="2">
        <v>3386</v>
      </c>
      <c r="B3387" s="4" t="s">
        <v>46</v>
      </c>
      <c r="C3387" s="3" t="str">
        <f>"TFC000003068"</f>
        <v>TFC000003068</v>
      </c>
      <c r="D3387" s="3" t="str">
        <f>"F800-20-2492-(AR 4.5)"</f>
        <v>F800-20-2492-(AR 4.5)</v>
      </c>
      <c r="E3387" s="3" t="str">
        <f>"(A)fashionable mystery"</f>
        <v>(A)fashionable mystery</v>
      </c>
      <c r="F3387" s="3" t="str">
        <f>"Thea Stilton ; illustrations by Valeria Brambilla, Francesco Castelli ; translated by Anna Pizzelli"</f>
        <v>Thea Stilton ; illustrations by Valeria Brambilla, Francesco Castelli ; translated by Anna Pizzelli</v>
      </c>
      <c r="G3387" s="3" t="str">
        <f>"Scholastic"</f>
        <v>Scholastic</v>
      </c>
      <c r="H3387" s="2" t="str">
        <f>"2015"</f>
        <v>2015</v>
      </c>
      <c r="I3387" s="3" t="str">
        <f>""</f>
        <v/>
      </c>
    </row>
    <row r="3388" spans="1:9" x14ac:dyDescent="0.3">
      <c r="A3388" s="2">
        <v>3387</v>
      </c>
      <c r="B3388" s="4" t="s">
        <v>46</v>
      </c>
      <c r="C3388" s="3" t="str">
        <f>"TFC000003087"</f>
        <v>TFC000003087</v>
      </c>
      <c r="D3388" s="3" t="str">
        <f>"F800-20-2493-(AR 4.5)"</f>
        <v>F800-20-2493-(AR 4.5)</v>
      </c>
      <c r="E3388" s="3" t="str">
        <f>"(The)secret of the crystal fairies"</f>
        <v>(The)secret of the crystal fairies</v>
      </c>
      <c r="F3388" s="3" t="str">
        <f>"text by Thea Stilton ; illustrations by Giuseppe Facciotto...[et al.] ; translated by Anna Pizzelli"</f>
        <v>text by Thea Stilton ; illustrations by Giuseppe Facciotto...[et al.] ; translated by Anna Pizzelli</v>
      </c>
      <c r="G3388" s="3" t="str">
        <f>"Scholastic"</f>
        <v>Scholastic</v>
      </c>
      <c r="H3388" s="2" t="str">
        <f>"2018"</f>
        <v>2018</v>
      </c>
      <c r="I3388" s="3" t="str">
        <f>""</f>
        <v/>
      </c>
    </row>
    <row r="3389" spans="1:9" x14ac:dyDescent="0.3">
      <c r="A3389" s="2">
        <v>3388</v>
      </c>
      <c r="B3389" s="4" t="s">
        <v>46</v>
      </c>
      <c r="C3389" s="3" t="str">
        <f>"TFC000003090"</f>
        <v>TFC000003090</v>
      </c>
      <c r="D3389" s="3" t="str">
        <f>"F800-20-2494-(AR 4.5)"</f>
        <v>F800-20-2494-(AR 4.5)</v>
      </c>
      <c r="E3389" s="3" t="str">
        <f>"Thea Stilton and the phantom of the orchestra"</f>
        <v>Thea Stilton and the phantom of the orchestra</v>
      </c>
      <c r="F3389" s="3" t="str">
        <f>"text by Thea Stilton ; illustrations by Barbara Pellizzari...[et al.] ; translated by Andrea Shaffer"</f>
        <v>text by Thea Stilton ; illustrations by Barbara Pellizzari...[et al.] ; translated by Andrea Shaffer</v>
      </c>
      <c r="G3389" s="3" t="str">
        <f>"Scholastic Paperbacks"</f>
        <v>Scholastic Paperbacks</v>
      </c>
      <c r="H3389" s="2" t="str">
        <f>"2019"</f>
        <v>2019</v>
      </c>
      <c r="I3389" s="3" t="str">
        <f>""</f>
        <v/>
      </c>
    </row>
    <row r="3390" spans="1:9" x14ac:dyDescent="0.3">
      <c r="A3390" s="2">
        <v>3389</v>
      </c>
      <c r="B3390" s="4" t="s">
        <v>46</v>
      </c>
      <c r="C3390" s="3" t="str">
        <f>"TFC000003402"</f>
        <v>TFC000003402</v>
      </c>
      <c r="D3390" s="3" t="str">
        <f>"F800-21-0803-(AR 4.5)"</f>
        <v>F800-21-0803-(AR 4.5)</v>
      </c>
      <c r="E3390" s="3" t="str">
        <f>"Priya Dreams of Marigolds &amp; Masala"</f>
        <v>Priya Dreams of Marigolds &amp; Masala</v>
      </c>
      <c r="F3390" s="3" t="str">
        <f>"written and illustrated by Meenal Patel"</f>
        <v>written and illustrated by Meenal Patel</v>
      </c>
      <c r="G3390" s="3" t="str">
        <f>"Beaver's Pond Press"</f>
        <v>Beaver's Pond Press</v>
      </c>
      <c r="H3390" s="2" t="str">
        <f>"2019"</f>
        <v>2019</v>
      </c>
      <c r="I3390" s="3" t="str">
        <f>""</f>
        <v/>
      </c>
    </row>
    <row r="3391" spans="1:9" x14ac:dyDescent="0.3">
      <c r="A3391" s="2">
        <v>3390</v>
      </c>
      <c r="B3391" s="4" t="s">
        <v>46</v>
      </c>
      <c r="C3391" s="3" t="str">
        <f>"TFC000003403"</f>
        <v>TFC000003403</v>
      </c>
      <c r="D3391" s="3" t="str">
        <f>"F800-21-0804-(AR 4.5)"</f>
        <v>F800-21-0804-(AR 4.5)</v>
      </c>
      <c r="E3391" s="3" t="str">
        <f>"(The)inquisitor's Tale : or, the three magical children and their holy dog"</f>
        <v>(The)inquisitor's Tale : or, the three magical children and their holy dog</v>
      </c>
      <c r="F3391" s="3" t="str">
        <f>"by Adam Gidwitz ; illustrated by Hatem Aly"</f>
        <v>by Adam Gidwitz ; illustrated by Hatem Aly</v>
      </c>
      <c r="G3391" s="3" t="str">
        <f>"Puffin Books"</f>
        <v>Puffin Books</v>
      </c>
      <c r="H3391" s="2" t="str">
        <f>"2016"</f>
        <v>2016</v>
      </c>
      <c r="I3391" s="3" t="str">
        <f>""</f>
        <v/>
      </c>
    </row>
    <row r="3392" spans="1:9" x14ac:dyDescent="0.3">
      <c r="A3392" s="2">
        <v>3391</v>
      </c>
      <c r="B3392" s="4" t="s">
        <v>46</v>
      </c>
      <c r="C3392" s="3" t="str">
        <f>"TFC000003474"</f>
        <v>TFC000003474</v>
      </c>
      <c r="D3392" s="3" t="str">
        <f>"F800-21-0805-(AR 4.5)"</f>
        <v>F800-21-0805-(AR 4.5)</v>
      </c>
      <c r="E3392" s="3" t="str">
        <f>"Claude at the circus"</f>
        <v>Claude at the circus</v>
      </c>
      <c r="F3392" s="3" t="str">
        <f>"by Alex T. Smith"</f>
        <v>by Alex T. Smith</v>
      </c>
      <c r="G3392" s="3" t="str">
        <f>"Peachtree Publishers"</f>
        <v>Peachtree Publishers</v>
      </c>
      <c r="H3392" s="2" t="str">
        <f>"2017"</f>
        <v>2017</v>
      </c>
      <c r="I3392" s="3" t="str">
        <f>""</f>
        <v/>
      </c>
    </row>
    <row r="3393" spans="1:9" x14ac:dyDescent="0.3">
      <c r="A3393" s="2">
        <v>3392</v>
      </c>
      <c r="B3393" s="4" t="s">
        <v>46</v>
      </c>
      <c r="C3393" s="3" t="str">
        <f>"TFC000003478"</f>
        <v>TFC000003478</v>
      </c>
      <c r="D3393" s="3" t="str">
        <f>"F800-21-0806-(AR 4.5)"</f>
        <v>F800-21-0806-(AR 4.5)</v>
      </c>
      <c r="E3393" s="3" t="str">
        <f>"(The)ghostwriter secret"</f>
        <v>(The)ghostwriter secret</v>
      </c>
      <c r="F3393" s="3" t="str">
        <f>"by Mac Barnett ; illustrations by Adam Rex"</f>
        <v>by Mac Barnett ; illustrations by Adam Rex</v>
      </c>
      <c r="G3393" s="3" t="str">
        <f>"Simon &amp; Schuster Books for Young Readers"</f>
        <v>Simon &amp; Schuster Books for Young Readers</v>
      </c>
      <c r="H3393" s="2" t="str">
        <f>"2011"</f>
        <v>2011</v>
      </c>
      <c r="I3393" s="3" t="str">
        <f>""</f>
        <v/>
      </c>
    </row>
    <row r="3394" spans="1:9" x14ac:dyDescent="0.3">
      <c r="A3394" s="2">
        <v>3393</v>
      </c>
      <c r="B3394" s="4" t="s">
        <v>46</v>
      </c>
      <c r="C3394" s="3" t="str">
        <f>"TFC000003525"</f>
        <v>TFC000003525</v>
      </c>
      <c r="D3394" s="3" t="str">
        <f>"F800-21-0807-(AR 4.5)"</f>
        <v>F800-21-0807-(AR 4.5)</v>
      </c>
      <c r="E3394" s="3" t="str">
        <f>"(The)night of courage"</f>
        <v>(The)night of courage</v>
      </c>
      <c r="F3394" s="3" t="str">
        <f>"text by Danielle Star ; translated by Chris Turner"</f>
        <v>text by Danielle Star ; translated by Chris Turner</v>
      </c>
      <c r="G3394" s="3" t="str">
        <f>"Scholastic Inc"</f>
        <v>Scholastic Inc</v>
      </c>
      <c r="H3394" s="2" t="str">
        <f>"2018"</f>
        <v>2018</v>
      </c>
      <c r="I3394" s="3" t="str">
        <f>""</f>
        <v/>
      </c>
    </row>
    <row r="3395" spans="1:9" x14ac:dyDescent="0.3">
      <c r="A3395" s="2">
        <v>3394</v>
      </c>
      <c r="B3395" s="4" t="s">
        <v>46</v>
      </c>
      <c r="C3395" s="3" t="str">
        <f>"TFC000003527"</f>
        <v>TFC000003527</v>
      </c>
      <c r="D3395" s="3" t="str">
        <f>"F800-21-0808-(AR 4.5)"</f>
        <v>F800-21-0808-(AR 4.5)</v>
      </c>
      <c r="E3395" s="3" t="str">
        <f>"(The)ice enchantment"</f>
        <v>(The)ice enchantment</v>
      </c>
      <c r="F3395" s="3" t="str">
        <f>"text by Danielle Star ; translated by Chris Turner"</f>
        <v>text by Danielle Star ; translated by Chris Turner</v>
      </c>
      <c r="G3395" s="3" t="str">
        <f>"Scholastic Inc"</f>
        <v>Scholastic Inc</v>
      </c>
      <c r="H3395" s="2" t="str">
        <f>"2018"</f>
        <v>2018</v>
      </c>
      <c r="I3395" s="3" t="str">
        <f>""</f>
        <v/>
      </c>
    </row>
    <row r="3396" spans="1:9" x14ac:dyDescent="0.3">
      <c r="A3396" s="2">
        <v>3395</v>
      </c>
      <c r="B3396" s="4" t="s">
        <v>46</v>
      </c>
      <c r="C3396" s="3" t="str">
        <f>"TFC000003562"</f>
        <v>TFC000003562</v>
      </c>
      <c r="D3396" s="3" t="str">
        <f>"F800-21-0809-(AR 4.5)"</f>
        <v>F800-21-0809-(AR 4.5)</v>
      </c>
      <c r="E3396" s="3" t="str">
        <f>"Claude in the country"</f>
        <v>Claude in the country</v>
      </c>
      <c r="F3396" s="3" t="str">
        <f>"by Alex T. Smith"</f>
        <v>by Alex T. Smith</v>
      </c>
      <c r="G3396" s="3" t="str">
        <f>"Hodder Children's Books"</f>
        <v>Hodder Children's Books</v>
      </c>
      <c r="H3396" s="2" t="str">
        <f>"2013"</f>
        <v>2013</v>
      </c>
      <c r="I3396" s="3" t="str">
        <f>""</f>
        <v/>
      </c>
    </row>
    <row r="3397" spans="1:9" x14ac:dyDescent="0.3">
      <c r="A3397" s="2">
        <v>3396</v>
      </c>
      <c r="B3397" s="4" t="s">
        <v>46</v>
      </c>
      <c r="C3397" s="3" t="str">
        <f>"TFC000003634"</f>
        <v>TFC000003634</v>
      </c>
      <c r="D3397" s="3" t="str">
        <f>"F800-21-0810-(AR 4.5)"</f>
        <v>F800-21-0810-(AR 4.5)</v>
      </c>
      <c r="E3397" s="3" t="str">
        <f>"(The)new jumper"</f>
        <v>(The)new jumper</v>
      </c>
      <c r="F3397" s="3" t="str">
        <f>"by Oliver Jeffers"</f>
        <v>by Oliver Jeffers</v>
      </c>
      <c r="G3397" s="3" t="str">
        <f>"HarperCollins Children's Books"</f>
        <v>HarperCollins Children's Books</v>
      </c>
      <c r="H3397" s="2" t="str">
        <f>"2012"</f>
        <v>2012</v>
      </c>
      <c r="I3397" s="3" t="str">
        <f>""</f>
        <v/>
      </c>
    </row>
    <row r="3398" spans="1:9" x14ac:dyDescent="0.3">
      <c r="A3398" s="2">
        <v>3397</v>
      </c>
      <c r="B3398" s="4" t="s">
        <v>46</v>
      </c>
      <c r="C3398" s="3" t="str">
        <f>"TFC000004078"</f>
        <v>TFC000004078</v>
      </c>
      <c r="D3398" s="3" t="str">
        <f>"F800-21-0811-(AR 4.5)"</f>
        <v>F800-21-0811-(AR 4.5)</v>
      </c>
      <c r="E3398" s="3" t="str">
        <f>"Tips for magicians"</f>
        <v>Tips for magicians</v>
      </c>
      <c r="F3398" s="3" t="str">
        <f>"by Celesta Rimington"</f>
        <v>by Celesta Rimington</v>
      </c>
      <c r="G3398" s="3" t="str">
        <f>"Crown Books for Young Readers"</f>
        <v>Crown Books for Young Readers</v>
      </c>
      <c r="H3398" s="2" t="str">
        <f>"2021"</f>
        <v>2021</v>
      </c>
      <c r="I3398" s="3" t="str">
        <f>""</f>
        <v/>
      </c>
    </row>
    <row r="3399" spans="1:9" x14ac:dyDescent="0.3">
      <c r="A3399" s="2">
        <v>3398</v>
      </c>
      <c r="B3399" s="4" t="s">
        <v>46</v>
      </c>
      <c r="C3399" s="3" t="str">
        <f>"TFC000004079"</f>
        <v>TFC000004079</v>
      </c>
      <c r="D3399" s="3" t="str">
        <f>"F800-21-0812-(AR 4.5)"</f>
        <v>F800-21-0812-(AR 4.5)</v>
      </c>
      <c r="E3399" s="3" t="str">
        <f>"Teaflet &amp; Roog make a mess"</f>
        <v>Teaflet &amp; Roog make a mess</v>
      </c>
      <c r="F3399" s="3" t="str">
        <f>"text by Jeanne Birdsall, illstrated by Jane Dyerby"</f>
        <v>text by Jeanne Birdsall, illstrated by Jane Dyerby</v>
      </c>
      <c r="G3399" s="3" t="str">
        <f>"Alfred A. Knopf"</f>
        <v>Alfred A. Knopf</v>
      </c>
      <c r="H3399" s="2" t="str">
        <f>"2021"</f>
        <v>2021</v>
      </c>
      <c r="I3399" s="3" t="str">
        <f>""</f>
        <v/>
      </c>
    </row>
    <row r="3400" spans="1:9" x14ac:dyDescent="0.3">
      <c r="A3400" s="2">
        <v>3399</v>
      </c>
      <c r="B3400" s="4" t="s">
        <v>46</v>
      </c>
      <c r="C3400" s="3" t="str">
        <f>"TFC000004506"</f>
        <v>TFC000004506</v>
      </c>
      <c r="D3400" s="3" t="str">
        <f>"F900-22-0315-(AR4.5)"</f>
        <v>F900-22-0315-(AR4.5)</v>
      </c>
      <c r="E3400" s="3" t="str">
        <f>"(The)boy who dreamed of infinity : a tale of the genius Ramanujan"</f>
        <v>(The)boy who dreamed of infinity : a tale of the genius Ramanujan</v>
      </c>
      <c r="F3400" s="3" t="str">
        <f>"by Amy Alznauer, illustrated by Daniel Miyares"</f>
        <v>by Amy Alznauer, illustrated by Daniel Miyares</v>
      </c>
      <c r="G3400" s="3" t="str">
        <f>"Candlewick Press"</f>
        <v>Candlewick Press</v>
      </c>
      <c r="H3400" s="2" t="str">
        <f>"2020"</f>
        <v>2020</v>
      </c>
      <c r="I3400" s="3" t="str">
        <f>""</f>
        <v/>
      </c>
    </row>
    <row r="3401" spans="1:9" x14ac:dyDescent="0.3">
      <c r="A3401" s="2">
        <v>3400</v>
      </c>
      <c r="B3401" s="4" t="s">
        <v>46</v>
      </c>
      <c r="C3401" s="3" t="str">
        <f>"TFC000004507"</f>
        <v>TFC000004507</v>
      </c>
      <c r="D3401" s="3" t="str">
        <f>"F800-22-0316-(AR4.5)"</f>
        <v>F800-22-0316-(AR4.5)</v>
      </c>
      <c r="E3401" s="3" t="str">
        <f>"There was an old scientist who swallowed a dinosaur!"</f>
        <v>There was an old scientist who swallowed a dinosaur!</v>
      </c>
      <c r="F3401" s="3" t="str">
        <f>"by Lucille Colandro, illustrated by Jared Lee"</f>
        <v>by Lucille Colandro, illustrated by Jared Lee</v>
      </c>
      <c r="G3401" s="3" t="str">
        <f>"Cartwheel Books"</f>
        <v>Cartwheel Books</v>
      </c>
      <c r="H3401" s="2" t="str">
        <f>"2022"</f>
        <v>2022</v>
      </c>
      <c r="I3401" s="3" t="str">
        <f>""</f>
        <v/>
      </c>
    </row>
    <row r="3402" spans="1:9" x14ac:dyDescent="0.3">
      <c r="A3402" s="2">
        <v>3401</v>
      </c>
      <c r="B3402" s="4" t="s">
        <v>46</v>
      </c>
      <c r="C3402" s="3" t="str">
        <f>"TFC000004552"</f>
        <v>TFC000004552</v>
      </c>
      <c r="D3402" s="3" t="str">
        <f>"F800-22-0361-(AR4.5)"</f>
        <v>F800-22-0361-(AR4.5)</v>
      </c>
      <c r="E3402" s="3" t="str">
        <f>"Join the Club, Maggie Diaz"</f>
        <v>Join the Club, Maggie Diaz</v>
      </c>
      <c r="F3402" s="3" t="str">
        <f>"written by Nina Moreno, illustrations by Courtney Lovett"</f>
        <v>written by Nina Moreno, illustrations by Courtney Lovett</v>
      </c>
      <c r="G3402" s="3" t="str">
        <f>"Scholastic Press"</f>
        <v>Scholastic Press</v>
      </c>
      <c r="H3402" s="2" t="str">
        <f>"2022"</f>
        <v>2022</v>
      </c>
      <c r="I3402" s="3" t="str">
        <f>""</f>
        <v/>
      </c>
    </row>
    <row r="3403" spans="1:9" x14ac:dyDescent="0.3">
      <c r="A3403" s="2">
        <v>3402</v>
      </c>
      <c r="B3403" s="4" t="s">
        <v>46</v>
      </c>
      <c r="C3403" s="3" t="str">
        <f>"TFC000004601"</f>
        <v>TFC000004601</v>
      </c>
      <c r="D3403" s="3" t="str">
        <f>"F800-22-0410-(AR4.5)"</f>
        <v>F800-22-0410-(AR4.5)</v>
      </c>
      <c r="E3403" s="3" t="str">
        <f>"10 Truths and a Dare"</f>
        <v>10 Truths and a Dare</v>
      </c>
      <c r="F3403" s="3" t="str">
        <f>"by Ashley Elston"</f>
        <v>by Ashley Elston</v>
      </c>
      <c r="G3403" s="3" t="str">
        <f>"Disney-Hyperion"</f>
        <v>Disney-Hyperion</v>
      </c>
      <c r="H3403" s="2" t="str">
        <f>"2021"</f>
        <v>2021</v>
      </c>
      <c r="I3403" s="3" t="str">
        <f>""</f>
        <v/>
      </c>
    </row>
    <row r="3404" spans="1:9" x14ac:dyDescent="0.3">
      <c r="A3404" s="2">
        <v>3403</v>
      </c>
      <c r="B3404" s="4" t="s">
        <v>46</v>
      </c>
      <c r="C3404" s="3" t="str">
        <f>"TFC000004602"</f>
        <v>TFC000004602</v>
      </c>
      <c r="D3404" s="3" t="str">
        <f>"F800-22-0411-(AR4.5)"</f>
        <v>F800-22-0411-(AR4.5)</v>
      </c>
      <c r="E3404" s="3" t="str">
        <f>"(The)Magical Imperfect"</f>
        <v>(The)Magical Imperfect</v>
      </c>
      <c r="F3404" s="3" t="str">
        <f>"by Chris Baron"</f>
        <v>by Chris Baron</v>
      </c>
      <c r="G3404" s="3" t="str">
        <f>"Feiwel and Friends"</f>
        <v>Feiwel and Friends</v>
      </c>
      <c r="H3404" s="2" t="str">
        <f>"2021"</f>
        <v>2021</v>
      </c>
      <c r="I3404" s="3" t="str">
        <f>""</f>
        <v/>
      </c>
    </row>
    <row r="3405" spans="1:9" x14ac:dyDescent="0.3">
      <c r="A3405" s="2">
        <v>3404</v>
      </c>
      <c r="B3405" s="4" t="s">
        <v>46</v>
      </c>
      <c r="C3405" s="3" t="str">
        <f>"TFC000003121"</f>
        <v>TFC000003121</v>
      </c>
      <c r="D3405" s="3" t="str">
        <f>"F900-20-2507-[11](AR 4.5)"</f>
        <v>F900-20-2507-[11](AR 4.5)</v>
      </c>
      <c r="E3405" s="3" t="str">
        <f>"Anne Frank"</f>
        <v>Anne Frank</v>
      </c>
      <c r="F3405" s="3" t="str">
        <f>"written by Ma Isabel Sánchez Vegara ; illustrated by Sveta Dorosheva"</f>
        <v>written by Ma Isabel Sánchez Vegara ; illustrated by Sveta Dorosheva</v>
      </c>
      <c r="G3405" s="3" t="str">
        <f>"Frances Lincoln Children's Books"</f>
        <v>Frances Lincoln Children's Books</v>
      </c>
      <c r="H3405" s="2" t="str">
        <f>"2018"</f>
        <v>2018</v>
      </c>
      <c r="I3405" s="3" t="str">
        <f>""</f>
        <v/>
      </c>
    </row>
    <row r="3406" spans="1:9" x14ac:dyDescent="0.3">
      <c r="A3406" s="2">
        <v>3405</v>
      </c>
      <c r="B3406" s="4">
        <v>4.5</v>
      </c>
      <c r="C3406" s="3" t="str">
        <f>"TFC000003154"</f>
        <v>TFC000003154</v>
      </c>
      <c r="D3406" s="3" t="str">
        <f>"F800-20-2495-12(AR 4.5)"</f>
        <v>F800-20-2495-12(AR 4.5)</v>
      </c>
      <c r="E3406" s="3" t="str">
        <f>"Dork diaries. 12, tales from a not-so-secret crush catastrophe"</f>
        <v>Dork diaries. 12, tales from a not-so-secret crush catastrophe</v>
      </c>
      <c r="F3406" s="3" t="str">
        <f>"Rachel Renee Russell, Nikki Russell"</f>
        <v>Rachel Renee Russell, Nikki Russell</v>
      </c>
      <c r="G3406" s="3" t="str">
        <f>"Aladdin"</f>
        <v>Aladdin</v>
      </c>
      <c r="H3406" s="2" t="str">
        <f>"2017"</f>
        <v>2017</v>
      </c>
      <c r="I3406" s="3" t="str">
        <f>""</f>
        <v/>
      </c>
    </row>
    <row r="3407" spans="1:9" x14ac:dyDescent="0.3">
      <c r="A3407" s="2">
        <v>3406</v>
      </c>
      <c r="B3407" s="4">
        <v>4.5</v>
      </c>
      <c r="C3407" s="3" t="str">
        <f>"TFC000004736"</f>
        <v>TFC000004736</v>
      </c>
      <c r="D3407" s="3" t="str">
        <f>"F800-22-0524-12(AR 4.5)"</f>
        <v>F800-22-0524-12(AR 4.5)</v>
      </c>
      <c r="E3407" s="3" t="str">
        <f>"Dork diaries. 12, Crush catastrophe"</f>
        <v>Dork diaries. 12, Crush catastrophe</v>
      </c>
      <c r="F3407" s="3" t="str">
        <f>"by Rachel Renee Russell"</f>
        <v>by Rachel Renee Russell</v>
      </c>
      <c r="G3407" s="3" t="str">
        <f>"Simon &amp; Schuster"</f>
        <v>Simon &amp; Schuster</v>
      </c>
      <c r="H3407" s="2" t="str">
        <f>"2018"</f>
        <v>2018</v>
      </c>
      <c r="I3407" s="3" t="str">
        <f>""</f>
        <v/>
      </c>
    </row>
    <row r="3408" spans="1:9" x14ac:dyDescent="0.3">
      <c r="A3408" s="2">
        <v>3407</v>
      </c>
      <c r="B3408" s="4">
        <v>4.5</v>
      </c>
      <c r="C3408" s="3" t="str">
        <f>"TFC000004728"</f>
        <v>TFC000004728</v>
      </c>
      <c r="D3408" s="3" t="str">
        <f>"F800-22-0524-4(AR 4.5)"</f>
        <v>F800-22-0524-4(AR 4.5)</v>
      </c>
      <c r="E3408" s="3" t="str">
        <f>"Dork diaries. 4, Skating sensation"</f>
        <v>Dork diaries. 4, Skating sensation</v>
      </c>
      <c r="F3408" s="3" t="str">
        <f>"by Rachel Renee Russell"</f>
        <v>by Rachel Renee Russell</v>
      </c>
      <c r="G3408" s="3" t="str">
        <f>"Simon &amp; Schuster"</f>
        <v>Simon &amp; Schuster</v>
      </c>
      <c r="H3408" s="2" t="str">
        <f>"2015"</f>
        <v>2015</v>
      </c>
      <c r="I3408" s="3" t="str">
        <f>""</f>
        <v/>
      </c>
    </row>
    <row r="3409" spans="1:9" x14ac:dyDescent="0.3">
      <c r="A3409" s="2">
        <v>3408</v>
      </c>
      <c r="B3409" s="4">
        <v>4.5</v>
      </c>
      <c r="C3409" s="3" t="str">
        <f>"TFC000002223"</f>
        <v>TFC000002223</v>
      </c>
      <c r="D3409" s="3" t="str">
        <f>"F800-20-2480-6(AR 4.5)"</f>
        <v>F800-20-2480-6(AR 4.5)</v>
      </c>
      <c r="E3409" s="3" t="str">
        <f>"Pendragon. book six, the Rivers of Zadaa"</f>
        <v>Pendragon. book six, the Rivers of Zadaa</v>
      </c>
      <c r="F3409" s="3" t="str">
        <f>"by D.J. Machale"</f>
        <v>by D.J. Machale</v>
      </c>
      <c r="G3409" s="3" t="str">
        <f>"Aladdin Paperbacks"</f>
        <v>Aladdin Paperbacks</v>
      </c>
      <c r="H3409" s="2" t="str">
        <f>"2006"</f>
        <v>2006</v>
      </c>
      <c r="I3409" s="3" t="str">
        <f>""</f>
        <v/>
      </c>
    </row>
    <row r="3410" spans="1:9" x14ac:dyDescent="0.3">
      <c r="A3410" s="2">
        <v>3409</v>
      </c>
      <c r="B3410" s="4" t="s">
        <v>47</v>
      </c>
      <c r="C3410" s="3" t="str">
        <f>"TFC000002258"</f>
        <v>TFC000002258</v>
      </c>
      <c r="D3410" s="3" t="str">
        <f>"F800-20-2524-(AR 4.6)"</f>
        <v>F800-20-2524-(AR 4.6)</v>
      </c>
      <c r="E3410" s="3" t="str">
        <f>"Skip through the seasons"</f>
        <v>Skip through the seasons</v>
      </c>
      <c r="F3410" s="3" t="str">
        <f>"written by Stella Blackstone ; illustrated by Maria Carluccio"</f>
        <v>written by Stella Blackstone ; illustrated by Maria Carluccio</v>
      </c>
      <c r="G3410" s="3" t="str">
        <f>"Barefoot books"</f>
        <v>Barefoot books</v>
      </c>
      <c r="H3410" s="2" t="str">
        <f>"2006"</f>
        <v>2006</v>
      </c>
      <c r="I3410" s="2" t="s">
        <v>2</v>
      </c>
    </row>
    <row r="3411" spans="1:9" x14ac:dyDescent="0.3">
      <c r="A3411" s="2">
        <v>3410</v>
      </c>
      <c r="B3411" s="4" t="s">
        <v>47</v>
      </c>
      <c r="C3411" s="3" t="str">
        <f>"TFC000002242"</f>
        <v>TFC000002242</v>
      </c>
      <c r="D3411" s="3" t="str">
        <f>"F300-20-2508-(AR 4.6)"</f>
        <v>F300-20-2508-(AR 4.6)</v>
      </c>
      <c r="E3411" s="3" t="str">
        <f>"Chanticleer and the fox"</f>
        <v>Chanticleer and the fox</v>
      </c>
      <c r="F3411" s="3" t="str">
        <f>"adapted from Geoffrey Chaucer's Canterbury tales ; and illustrated by Barbara Cooney"</f>
        <v>adapted from Geoffrey Chaucer's Canterbury tales ; and illustrated by Barbara Cooney</v>
      </c>
      <c r="G3411" s="3" t="str">
        <f>"HarperCollins Publishers"</f>
        <v>HarperCollins Publishers</v>
      </c>
      <c r="H3411" s="2" t="str">
        <f>"1986"</f>
        <v>1986</v>
      </c>
      <c r="I3411" s="3" t="str">
        <f>""</f>
        <v/>
      </c>
    </row>
    <row r="3412" spans="1:9" x14ac:dyDescent="0.3">
      <c r="A3412" s="2">
        <v>3411</v>
      </c>
      <c r="B3412" s="4" t="s">
        <v>47</v>
      </c>
      <c r="C3412" s="3" t="str">
        <f>"TFC000002243"</f>
        <v>TFC000002243</v>
      </c>
      <c r="D3412" s="3" t="str">
        <f>"F500-20-2509-(AR 4.6)"</f>
        <v>F500-20-2509-(AR 4.6)</v>
      </c>
      <c r="E3412" s="3" t="str">
        <f>"Inside the human body"</f>
        <v>Inside the human body</v>
      </c>
      <c r="F3412" s="3" t="str">
        <f>"by Joanna Cole ; illustrated by Bruce Degen"</f>
        <v>by Joanna Cole ; illustrated by Bruce Degen</v>
      </c>
      <c r="G3412" s="3" t="str">
        <f>"Scholastic"</f>
        <v>Scholastic</v>
      </c>
      <c r="H3412" s="2" t="str">
        <f>"1989"</f>
        <v>1989</v>
      </c>
      <c r="I3412" s="3" t="str">
        <f>""</f>
        <v/>
      </c>
    </row>
    <row r="3413" spans="1:9" x14ac:dyDescent="0.3">
      <c r="A3413" s="2">
        <v>3412</v>
      </c>
      <c r="B3413" s="4" t="s">
        <v>47</v>
      </c>
      <c r="C3413" s="3" t="str">
        <f>"TFC000002244"</f>
        <v>TFC000002244</v>
      </c>
      <c r="D3413" s="3" t="str">
        <f>"F500-20-2510-(AR 4.6)"</f>
        <v>F500-20-2510-(AR 4.6)</v>
      </c>
      <c r="E3413" s="3" t="str">
        <f>"(The story of)cars"</f>
        <v>(The story of)cars</v>
      </c>
      <c r="F3413" s="3" t="str">
        <f>"by Katie Daynes ; illustrated by Adam Larkum"</f>
        <v>by Katie Daynes ; illustrated by Adam Larkum</v>
      </c>
      <c r="G3413" s="3" t="str">
        <f>"Usborne"</f>
        <v>Usborne</v>
      </c>
      <c r="H3413" s="2" t="str">
        <f>"2007"</f>
        <v>2007</v>
      </c>
      <c r="I3413" s="3" t="str">
        <f>""</f>
        <v/>
      </c>
    </row>
    <row r="3414" spans="1:9" x14ac:dyDescent="0.3">
      <c r="A3414" s="2">
        <v>3413</v>
      </c>
      <c r="B3414" s="4" t="s">
        <v>47</v>
      </c>
      <c r="C3414" s="3" t="str">
        <f>"TFC000002245"</f>
        <v>TFC000002245</v>
      </c>
      <c r="D3414" s="3" t="str">
        <f>"F500-20-2511-(AR 4.6)"</f>
        <v>F500-20-2511-(AR 4.6)</v>
      </c>
      <c r="E3414" s="3" t="str">
        <f>"(The story of)trains"</f>
        <v>(The story of)trains</v>
      </c>
      <c r="F3414" s="3" t="str">
        <f>"Jane Bingham ; illustrated by Colin King"</f>
        <v>Jane Bingham ; illustrated by Colin King</v>
      </c>
      <c r="G3414" s="3" t="str">
        <f>"Usborne"</f>
        <v>Usborne</v>
      </c>
      <c r="H3414" s="2" t="str">
        <f>"2007"</f>
        <v>2007</v>
      </c>
      <c r="I3414" s="3" t="str">
        <f>""</f>
        <v/>
      </c>
    </row>
    <row r="3415" spans="1:9" x14ac:dyDescent="0.3">
      <c r="A3415" s="2">
        <v>3414</v>
      </c>
      <c r="B3415" s="4" t="s">
        <v>47</v>
      </c>
      <c r="C3415" s="3" t="str">
        <f>"TFC000002247"</f>
        <v>TFC000002247</v>
      </c>
      <c r="D3415" s="3" t="str">
        <f>"F800-20-2513-(AR 4.6)"</f>
        <v>F800-20-2513-(AR 4.6)</v>
      </c>
      <c r="E3415" s="3" t="str">
        <f>"What a day it was at School!"</f>
        <v>What a day it was at School!</v>
      </c>
      <c r="F3415" s="3" t="str">
        <f>"poems by Jack Prelutsky ; pictures by Doug Cushman"</f>
        <v>poems by Jack Prelutsky ; pictures by Doug Cushman</v>
      </c>
      <c r="G3415" s="3" t="str">
        <f>"Greenwillow Books"</f>
        <v>Greenwillow Books</v>
      </c>
      <c r="H3415" s="2" t="str">
        <f>"2006"</f>
        <v>2006</v>
      </c>
      <c r="I3415" s="3" t="str">
        <f>""</f>
        <v/>
      </c>
    </row>
    <row r="3416" spans="1:9" x14ac:dyDescent="0.3">
      <c r="A3416" s="2">
        <v>3415</v>
      </c>
      <c r="B3416" s="4" t="s">
        <v>47</v>
      </c>
      <c r="C3416" s="3" t="str">
        <f>"TFC000002249"</f>
        <v>TFC000002249</v>
      </c>
      <c r="D3416" s="3" t="str">
        <f>"F800-20-2515-(AR 4.6)"</f>
        <v>F800-20-2515-(AR 4.6)</v>
      </c>
      <c r="E3416" s="3" t="str">
        <f>"Fly high, fly low"</f>
        <v>Fly high, fly low</v>
      </c>
      <c r="F3416" s="3" t="str">
        <f>"by Don Freeman"</f>
        <v>by Don Freeman</v>
      </c>
      <c r="G3416" s="3" t="str">
        <f>"Puffin Books"</f>
        <v>Puffin Books</v>
      </c>
      <c r="H3416" s="2" t="str">
        <f>"1957"</f>
        <v>1957</v>
      </c>
      <c r="I3416" s="3" t="str">
        <f>""</f>
        <v/>
      </c>
    </row>
    <row r="3417" spans="1:9" x14ac:dyDescent="0.3">
      <c r="A3417" s="2">
        <v>3416</v>
      </c>
      <c r="B3417" s="4" t="s">
        <v>47</v>
      </c>
      <c r="C3417" s="3" t="str">
        <f>"TFC000002250"</f>
        <v>TFC000002250</v>
      </c>
      <c r="D3417" s="3" t="str">
        <f>"F800-20-2516-(AR 4.6)"</f>
        <v>F800-20-2516-(AR 4.6)</v>
      </c>
      <c r="E3417" s="3" t="str">
        <f>"Lily's crossing"</f>
        <v>Lily's crossing</v>
      </c>
      <c r="F3417" s="3" t="str">
        <f>"Patricia Reilly Giff"</f>
        <v>Patricia Reilly Giff</v>
      </c>
      <c r="G3417" s="3" t="str">
        <f>"Yearling Book"</f>
        <v>Yearling Book</v>
      </c>
      <c r="H3417" s="2" t="str">
        <f>"1997"</f>
        <v>1997</v>
      </c>
      <c r="I3417" s="3" t="str">
        <f>""</f>
        <v/>
      </c>
    </row>
    <row r="3418" spans="1:9" x14ac:dyDescent="0.3">
      <c r="A3418" s="2">
        <v>3417</v>
      </c>
      <c r="B3418" s="4" t="s">
        <v>47</v>
      </c>
      <c r="C3418" s="3" t="str">
        <f>"TFC000002251"</f>
        <v>TFC000002251</v>
      </c>
      <c r="D3418" s="3" t="str">
        <f>"F800-20-2517-(AR 4.6)"</f>
        <v>F800-20-2517-(AR 4.6)</v>
      </c>
      <c r="E3418" s="3" t="str">
        <f>"Winnie the Pooh"</f>
        <v>Winnie the Pooh</v>
      </c>
      <c r="F3418" s="3" t="str">
        <f>"with decorations by A.A. Milne"</f>
        <v>with decorations by A.A. Milne</v>
      </c>
      <c r="G3418" s="3" t="str">
        <f>"Puffin Books"</f>
        <v>Puffin Books</v>
      </c>
      <c r="H3418" s="2" t="str">
        <f>"2005"</f>
        <v>2005</v>
      </c>
      <c r="I3418" s="3" t="str">
        <f>""</f>
        <v/>
      </c>
    </row>
    <row r="3419" spans="1:9" x14ac:dyDescent="0.3">
      <c r="A3419" s="2">
        <v>3418</v>
      </c>
      <c r="B3419" s="4" t="s">
        <v>47</v>
      </c>
      <c r="C3419" s="3" t="str">
        <f>"TFC000002252"</f>
        <v>TFC000002252</v>
      </c>
      <c r="D3419" s="3" t="str">
        <f>"F800-20-2518-(AR 4.6)"</f>
        <v>F800-20-2518-(AR 4.6)</v>
      </c>
      <c r="E3419" s="3" t="str">
        <f>"(The tale of)two bad mice"</f>
        <v>(The tale of)two bad mice</v>
      </c>
      <c r="F3419" s="3" t="str">
        <f>"Beatrix Potter"</f>
        <v>Beatrix Potter</v>
      </c>
      <c r="G3419" s="3" t="str">
        <f>"Frederick Warne"</f>
        <v>Frederick Warne</v>
      </c>
      <c r="H3419" s="2" t="str">
        <f>"2002"</f>
        <v>2002</v>
      </c>
      <c r="I3419" s="3" t="str">
        <f>""</f>
        <v/>
      </c>
    </row>
    <row r="3420" spans="1:9" x14ac:dyDescent="0.3">
      <c r="A3420" s="2">
        <v>3419</v>
      </c>
      <c r="B3420" s="4" t="s">
        <v>47</v>
      </c>
      <c r="C3420" s="3" t="str">
        <f>"TFC000002253"</f>
        <v>TFC000002253</v>
      </c>
      <c r="D3420" s="3" t="str">
        <f>"F800-20-2519-(AR 4.6)"</f>
        <v>F800-20-2519-(AR 4.6)</v>
      </c>
      <c r="E3420" s="3" t="str">
        <f>"Encyclopedia Brown sets the pace"</f>
        <v>Encyclopedia Brown sets the pace</v>
      </c>
      <c r="F3420" s="3" t="str">
        <f>"Donald J. Sobol"</f>
        <v>Donald J. Sobol</v>
      </c>
      <c r="G3420" s="3" t="str">
        <f>"Scholastic"</f>
        <v>Scholastic</v>
      </c>
      <c r="H3420" s="2" t="str">
        <f>"1982"</f>
        <v>1982</v>
      </c>
      <c r="I3420" s="3" t="str">
        <f>""</f>
        <v/>
      </c>
    </row>
    <row r="3421" spans="1:9" x14ac:dyDescent="0.3">
      <c r="A3421" s="2">
        <v>3420</v>
      </c>
      <c r="B3421" s="4" t="s">
        <v>47</v>
      </c>
      <c r="C3421" s="3" t="str">
        <f>"TFC000002254"</f>
        <v>TFC000002254</v>
      </c>
      <c r="D3421" s="3" t="str">
        <f>"F800-20-2520-(AR 4.6)"</f>
        <v>F800-20-2520-(AR 4.6)</v>
      </c>
      <c r="E3421" s="3" t="str">
        <f>"(The)three little wolves and the big bad pig"</f>
        <v>(The)three little wolves and the big bad pig</v>
      </c>
      <c r="F3421" s="3" t="str">
        <f>"Eugene Trivizas ; illustrated by Helen Oxenbury"</f>
        <v>Eugene Trivizas ; illustrated by Helen Oxenbury</v>
      </c>
      <c r="G3421" s="3" t="str">
        <f>"Margaret K. McElderry Books"</f>
        <v>Margaret K. McElderry Books</v>
      </c>
      <c r="H3421" s="2" t="str">
        <f>"1993"</f>
        <v>1993</v>
      </c>
      <c r="I3421" s="3" t="str">
        <f>""</f>
        <v/>
      </c>
    </row>
    <row r="3422" spans="1:9" x14ac:dyDescent="0.3">
      <c r="A3422" s="2">
        <v>3421</v>
      </c>
      <c r="B3422" s="4" t="s">
        <v>47</v>
      </c>
      <c r="C3422" s="3" t="str">
        <f>"TFC000002255"</f>
        <v>TFC000002255</v>
      </c>
      <c r="D3422" s="3" t="str">
        <f>"F800-20-2521-(AR 4.6)"</f>
        <v>F800-20-2521-(AR 4.6)</v>
      </c>
      <c r="E3422" s="3" t="str">
        <f>"Arlo Finch in the lake of the moon"</f>
        <v>Arlo Finch in the lake of the moon</v>
      </c>
      <c r="F3422" s="3" t="str">
        <f>"John August"</f>
        <v>John August</v>
      </c>
      <c r="G3422" s="3" t="str">
        <f>"Roaring Brook Press"</f>
        <v>Roaring Brook Press</v>
      </c>
      <c r="H3422" s="2" t="str">
        <f>"2019"</f>
        <v>2019</v>
      </c>
      <c r="I3422" s="3" t="str">
        <f>""</f>
        <v/>
      </c>
    </row>
    <row r="3423" spans="1:9" x14ac:dyDescent="0.3">
      <c r="A3423" s="2">
        <v>3422</v>
      </c>
      <c r="B3423" s="4" t="s">
        <v>47</v>
      </c>
      <c r="C3423" s="3" t="str">
        <f>"TFC000002257"</f>
        <v>TFC000002257</v>
      </c>
      <c r="D3423" s="3" t="str">
        <f>"F800-20-2523-(AR 4.6)"</f>
        <v>F800-20-2523-(AR 4.6)</v>
      </c>
      <c r="E3423" s="3" t="str">
        <f>"Franny K. Stein mad scientist. 2, attack of the 50-foot cupid"</f>
        <v>Franny K. Stein mad scientist. 2, attack of the 50-foot cupid</v>
      </c>
      <c r="F3423" s="3" t="str">
        <f>"Jim Benton"</f>
        <v>Jim Benton</v>
      </c>
      <c r="G3423" s="3" t="str">
        <f>"Simon &amp; Schuster"</f>
        <v>Simon &amp; Schuster</v>
      </c>
      <c r="H3423" s="2" t="str">
        <f>"2003"</f>
        <v>2003</v>
      </c>
      <c r="I3423" s="3" t="str">
        <f>""</f>
        <v/>
      </c>
    </row>
    <row r="3424" spans="1:9" x14ac:dyDescent="0.3">
      <c r="A3424" s="2">
        <v>3423</v>
      </c>
      <c r="B3424" s="4" t="s">
        <v>47</v>
      </c>
      <c r="C3424" s="3" t="str">
        <f>"TFC000002259"</f>
        <v>TFC000002259</v>
      </c>
      <c r="D3424" s="3" t="str">
        <f>"F800-20-2525-(AR 4.6)"</f>
        <v>F800-20-2525-(AR 4.6)</v>
      </c>
      <c r="E3424" s="3" t="str">
        <f>"Henry and Beezus"</f>
        <v>Henry and Beezus</v>
      </c>
      <c r="F3424" s="3" t="str">
        <f>"by Beverly Cleary ; illustrated by Tracy Dockray"</f>
        <v>by Beverly Cleary ; illustrated by Tracy Dockray</v>
      </c>
      <c r="G3424" s="3" t="str">
        <f>"HarperTrophy"</f>
        <v>HarperTrophy</v>
      </c>
      <c r="H3424" s="2" t="str">
        <f>"2001"</f>
        <v>2001</v>
      </c>
      <c r="I3424" s="3" t="str">
        <f>""</f>
        <v/>
      </c>
    </row>
    <row r="3425" spans="1:9" x14ac:dyDescent="0.3">
      <c r="A3425" s="2">
        <v>3424</v>
      </c>
      <c r="B3425" s="4" t="s">
        <v>47</v>
      </c>
      <c r="C3425" s="3" t="str">
        <f>"TFC000002260"</f>
        <v>TFC000002260</v>
      </c>
      <c r="D3425" s="3" t="str">
        <f>"F800-20-2526-(AR 4.6)"</f>
        <v>F800-20-2526-(AR 4.6)</v>
      </c>
      <c r="E3425" s="3" t="str">
        <f>"Henry and Ribsy"</f>
        <v>Henry and Ribsy</v>
      </c>
      <c r="F3425" s="3" t="str">
        <f>"by Beverly Cleary ; illustrated by Tracy Dockray"</f>
        <v>by Beverly Cleary ; illustrated by Tracy Dockray</v>
      </c>
      <c r="G3425" s="3" t="str">
        <f>"HarperTrophy"</f>
        <v>HarperTrophy</v>
      </c>
      <c r="H3425" s="2" t="str">
        <f>"2007"</f>
        <v>2007</v>
      </c>
      <c r="I3425" s="3" t="str">
        <f>""</f>
        <v/>
      </c>
    </row>
    <row r="3426" spans="1:9" x14ac:dyDescent="0.3">
      <c r="A3426" s="2">
        <v>3425</v>
      </c>
      <c r="B3426" s="4" t="s">
        <v>47</v>
      </c>
      <c r="C3426" s="3" t="str">
        <f>"TFC000002261"</f>
        <v>TFC000002261</v>
      </c>
      <c r="D3426" s="3" t="str">
        <f>"F800-20-2527-(AR 4.6)"</f>
        <v>F800-20-2527-(AR 4.6)</v>
      </c>
      <c r="E3426" s="3" t="str">
        <f>"Grace for president"</f>
        <v>Grace for president</v>
      </c>
      <c r="F3426" s="3" t="str">
        <f>"by Kelly DiPucchio ; pictures by LeUyen Pham"</f>
        <v>by Kelly DiPucchio ; pictures by LeUyen Pham</v>
      </c>
      <c r="G3426" s="3" t="str">
        <f>"Disney·Hyperion Books"</f>
        <v>Disney·Hyperion Books</v>
      </c>
      <c r="H3426" s="2" t="str">
        <f>"2012"</f>
        <v>2012</v>
      </c>
      <c r="I3426" s="3" t="str">
        <f>""</f>
        <v/>
      </c>
    </row>
    <row r="3427" spans="1:9" x14ac:dyDescent="0.3">
      <c r="A3427" s="2">
        <v>3426</v>
      </c>
      <c r="B3427" s="4" t="s">
        <v>47</v>
      </c>
      <c r="C3427" s="3" t="str">
        <f>"TFC000002262"</f>
        <v>TFC000002262</v>
      </c>
      <c r="D3427" s="3" t="str">
        <f>"F800-20-2528-(AR 4.6)"</f>
        <v>F800-20-2528-(AR 4.6)</v>
      </c>
      <c r="E3427" s="3" t="str">
        <f>"Legends of the sky"</f>
        <v>Legends of the sky</v>
      </c>
      <c r="F3427" s="3" t="str">
        <f>"Liz Flanagan"</f>
        <v>Liz Flanagan</v>
      </c>
      <c r="G3427" s="3" t="str">
        <f>"David Fickling Books"</f>
        <v>David Fickling Books</v>
      </c>
      <c r="H3427" s="2" t="str">
        <f>"2019"</f>
        <v>2019</v>
      </c>
      <c r="I3427" s="3" t="str">
        <f>""</f>
        <v/>
      </c>
    </row>
    <row r="3428" spans="1:9" x14ac:dyDescent="0.3">
      <c r="A3428" s="2">
        <v>3427</v>
      </c>
      <c r="B3428" s="4" t="s">
        <v>47</v>
      </c>
      <c r="C3428" s="3" t="str">
        <f>"TFC000002263"</f>
        <v>TFC000002263</v>
      </c>
      <c r="D3428" s="3" t="str">
        <f>"F800-20-2529-(AR 4.6)"</f>
        <v>F800-20-2529-(AR 4.6)</v>
      </c>
      <c r="E3428" s="3" t="str">
        <f>"Elmer and the Dragon"</f>
        <v>Elmer and the Dragon</v>
      </c>
      <c r="F3428" s="3" t="str">
        <f>"by Ruth Stiles Gannett, illustrated by Ruth Chrisman Gannett"</f>
        <v>by Ruth Stiles Gannett, illustrated by Ruth Chrisman Gannett</v>
      </c>
      <c r="G3428" s="3" t="str">
        <f>"Random House"</f>
        <v>Random House</v>
      </c>
      <c r="H3428" s="2" t="str">
        <f>"2007"</f>
        <v>2007</v>
      </c>
      <c r="I3428" s="3" t="str">
        <f>""</f>
        <v/>
      </c>
    </row>
    <row r="3429" spans="1:9" x14ac:dyDescent="0.3">
      <c r="A3429" s="2">
        <v>3428</v>
      </c>
      <c r="B3429" s="4" t="s">
        <v>47</v>
      </c>
      <c r="C3429" s="3" t="str">
        <f>"TFC000002264"</f>
        <v>TFC000002264</v>
      </c>
      <c r="D3429" s="3" t="str">
        <f>"F800-20-2530-(AR 4.6)"</f>
        <v>F800-20-2530-(AR 4.6)</v>
      </c>
      <c r="E3429" s="3" t="str">
        <f>"Umbrella summer"</f>
        <v>Umbrella summer</v>
      </c>
      <c r="F3429" s="3" t="str">
        <f>"Lisa Graff"</f>
        <v>Lisa Graff</v>
      </c>
      <c r="G3429" s="3" t="str">
        <f>"Laura Geringer Books"</f>
        <v>Laura Geringer Books</v>
      </c>
      <c r="H3429" s="2" t="str">
        <f>"2009"</f>
        <v>2009</v>
      </c>
      <c r="I3429" s="3" t="str">
        <f>""</f>
        <v/>
      </c>
    </row>
    <row r="3430" spans="1:9" x14ac:dyDescent="0.3">
      <c r="A3430" s="2">
        <v>3429</v>
      </c>
      <c r="B3430" s="4" t="s">
        <v>47</v>
      </c>
      <c r="C3430" s="3" t="str">
        <f>"TFC000002265"</f>
        <v>TFC000002265</v>
      </c>
      <c r="D3430" s="3" t="str">
        <f>"F800-20-2531-(AR 4.6)"</f>
        <v>F800-20-2531-(AR 4.6)</v>
      </c>
      <c r="E3430" s="3" t="str">
        <f>"Center stage"</f>
        <v>Center stage</v>
      </c>
      <c r="F3430" s="3" t="str">
        <f>"story by Katharine Holabird ; illustrations by Helen Craig"</f>
        <v>story by Katharine Holabird ; illustrations by Helen Craig</v>
      </c>
      <c r="G3430" s="3" t="str">
        <f>"Simon Spotlight"</f>
        <v>Simon Spotlight</v>
      </c>
      <c r="H3430" s="2" t="str">
        <f>"2019"</f>
        <v>2019</v>
      </c>
      <c r="I3430" s="3" t="str">
        <f>""</f>
        <v/>
      </c>
    </row>
    <row r="3431" spans="1:9" x14ac:dyDescent="0.3">
      <c r="A3431" s="2">
        <v>3430</v>
      </c>
      <c r="B3431" s="4" t="s">
        <v>47</v>
      </c>
      <c r="C3431" s="3" t="str">
        <f>"TFC000002266"</f>
        <v>TFC000002266</v>
      </c>
      <c r="D3431" s="3" t="str">
        <f>"F800-20-2532-(AR 4.6)"</f>
        <v>F800-20-2532-(AR 4.6)</v>
      </c>
      <c r="E3431" s="3" t="str">
        <f>"Spy cat"</f>
        <v>Spy cat</v>
      </c>
      <c r="F3431" s="3" t="str">
        <f>"Peg Kehret"</f>
        <v>Peg Kehret</v>
      </c>
      <c r="G3431" s="3" t="str">
        <f>"Sleuth Puffin"</f>
        <v>Sleuth Puffin</v>
      </c>
      <c r="H3431" s="2" t="str">
        <f>"2008"</f>
        <v>2008</v>
      </c>
      <c r="I3431" s="3" t="str">
        <f>""</f>
        <v/>
      </c>
    </row>
    <row r="3432" spans="1:9" x14ac:dyDescent="0.3">
      <c r="A3432" s="2">
        <v>3431</v>
      </c>
      <c r="B3432" s="4" t="s">
        <v>47</v>
      </c>
      <c r="C3432" s="3" t="str">
        <f>"TFC000002267"</f>
        <v>TFC000002267</v>
      </c>
      <c r="D3432" s="3" t="str">
        <f>"F800-20-2533-(AR 4.6)"</f>
        <v>F800-20-2533-(AR 4.6)</v>
      </c>
      <c r="E3432" s="3" t="str">
        <f>"Ella enchanted"</f>
        <v>Ella enchanted</v>
      </c>
      <c r="F3432" s="3" t="str">
        <f>"Gail Carson Levine"</f>
        <v>Gail Carson Levine</v>
      </c>
      <c r="G3432" s="3" t="str">
        <f>"Harper"</f>
        <v>Harper</v>
      </c>
      <c r="H3432" s="2" t="str">
        <f>"2011"</f>
        <v>2011</v>
      </c>
      <c r="I3432" s="3" t="str">
        <f>""</f>
        <v/>
      </c>
    </row>
    <row r="3433" spans="1:9" x14ac:dyDescent="0.3">
      <c r="A3433" s="2">
        <v>3432</v>
      </c>
      <c r="B3433" s="4" t="s">
        <v>47</v>
      </c>
      <c r="C3433" s="3" t="str">
        <f>"TFC000002268"</f>
        <v>TFC000002268</v>
      </c>
      <c r="D3433" s="3" t="str">
        <f>"F800-20-2534-(AR 4.6)"</f>
        <v>F800-20-2534-(AR 4.6)</v>
      </c>
      <c r="E3433" s="3" t="str">
        <f>"Birdwing"</f>
        <v>Birdwing</v>
      </c>
      <c r="F3433" s="3" t="str">
        <f>"Rafe Martin"</f>
        <v>Rafe Martin</v>
      </c>
      <c r="G3433" s="3" t="str">
        <f>"Scholastic"</f>
        <v>Scholastic</v>
      </c>
      <c r="H3433" s="2" t="str">
        <f>"2007"</f>
        <v>2007</v>
      </c>
      <c r="I3433" s="3" t="str">
        <f>""</f>
        <v/>
      </c>
    </row>
    <row r="3434" spans="1:9" x14ac:dyDescent="0.3">
      <c r="A3434" s="2">
        <v>3433</v>
      </c>
      <c r="B3434" s="4" t="s">
        <v>47</v>
      </c>
      <c r="C3434" s="3" t="str">
        <f>"TFC000002269"</f>
        <v>TFC000002269</v>
      </c>
      <c r="D3434" s="3" t="str">
        <f>"F800-20-2535-(AR 4.6)"</f>
        <v>F800-20-2535-(AR 4.6)</v>
      </c>
      <c r="E3434" s="3" t="str">
        <f>"(The)dark-thirty : southern tales of the supernatural"</f>
        <v>(The)dark-thirty : southern tales of the supernatural</v>
      </c>
      <c r="F3434" s="3" t="str">
        <f>"by Patricia C. McKissack ; illustrated by Brian Pinkney"</f>
        <v>by Patricia C. McKissack ; illustrated by Brian Pinkney</v>
      </c>
      <c r="G3434" s="3" t="str">
        <f>"Yearling Book"</f>
        <v>Yearling Book</v>
      </c>
      <c r="H3434" s="2" t="str">
        <f>"2001"</f>
        <v>2001</v>
      </c>
      <c r="I3434" s="3" t="str">
        <f>""</f>
        <v/>
      </c>
    </row>
    <row r="3435" spans="1:9" x14ac:dyDescent="0.3">
      <c r="A3435" s="2">
        <v>3434</v>
      </c>
      <c r="B3435" s="4" t="s">
        <v>47</v>
      </c>
      <c r="C3435" s="3" t="str">
        <f>"TFC000002270"</f>
        <v>TFC000002270</v>
      </c>
      <c r="D3435" s="3" t="str">
        <f>"F800-20-2536-(AR 4.6)"</f>
        <v>F800-20-2536-(AR 4.6)</v>
      </c>
      <c r="E3435" s="3" t="str">
        <f>"Merci Suarez changes gears"</f>
        <v>Merci Suarez changes gears</v>
      </c>
      <c r="F3435" s="3" t="str">
        <f>"Meg Medina"</f>
        <v>Meg Medina</v>
      </c>
      <c r="G3435" s="3" t="str">
        <f>"Candlewick Press"</f>
        <v>Candlewick Press</v>
      </c>
      <c r="H3435" s="2" t="str">
        <f>"2018"</f>
        <v>2018</v>
      </c>
      <c r="I3435" s="3" t="str">
        <f>""</f>
        <v/>
      </c>
    </row>
    <row r="3436" spans="1:9" x14ac:dyDescent="0.3">
      <c r="A3436" s="2">
        <v>3435</v>
      </c>
      <c r="B3436" s="4" t="s">
        <v>47</v>
      </c>
      <c r="C3436" s="3" t="str">
        <f>"TFC000002271"</f>
        <v>TFC000002271</v>
      </c>
      <c r="D3436" s="3" t="str">
        <f>"F800-20-2537-(AR 4.6)"</f>
        <v>F800-20-2537-(AR 4.6)</v>
      </c>
      <c r="E3436" s="3" t="str">
        <f>"One hen : how one small loan made a big difference"</f>
        <v>One hen : how one small loan made a big difference</v>
      </c>
      <c r="F3436" s="3" t="str">
        <f>"written by Katie Smith Milway ; illustrated by Eugenie Fernandes"</f>
        <v>written by Katie Smith Milway ; illustrated by Eugenie Fernandes</v>
      </c>
      <c r="G3436" s="3" t="str">
        <f>"Kids Can Press"</f>
        <v>Kids Can Press</v>
      </c>
      <c r="H3436" s="2" t="str">
        <f>"2008"</f>
        <v>2008</v>
      </c>
      <c r="I3436" s="3" t="str">
        <f>""</f>
        <v/>
      </c>
    </row>
    <row r="3437" spans="1:9" x14ac:dyDescent="0.3">
      <c r="A3437" s="2">
        <v>3436</v>
      </c>
      <c r="B3437" s="4" t="s">
        <v>47</v>
      </c>
      <c r="C3437" s="3" t="str">
        <f>"TFC000002272"</f>
        <v>TFC000002272</v>
      </c>
      <c r="D3437" s="3" t="str">
        <f>"F800-20-2538-(AR 4.6)"</f>
        <v>F800-20-2538-(AR 4.6)</v>
      </c>
      <c r="E3437" s="3" t="str">
        <f>"Amelia's guide to gossip : the good, the bad, and the ugly"</f>
        <v>Amelia's guide to gossip : the good, the bad, and the ugly</v>
      </c>
      <c r="F3437" s="3" t="str">
        <f>"by Marissa Moss"</f>
        <v>by Marissa Moss</v>
      </c>
      <c r="G3437" s="3" t="str">
        <f>"Simon &amp; Schuster Books for Young Readers"</f>
        <v>Simon &amp; Schuster Books for Young Readers</v>
      </c>
      <c r="H3437" s="2" t="str">
        <f>"2006"</f>
        <v>2006</v>
      </c>
      <c r="I3437" s="3" t="str">
        <f>""</f>
        <v/>
      </c>
    </row>
    <row r="3438" spans="1:9" x14ac:dyDescent="0.3">
      <c r="A3438" s="2">
        <v>3437</v>
      </c>
      <c r="B3438" s="4" t="s">
        <v>47</v>
      </c>
      <c r="C3438" s="3" t="str">
        <f>"TFC000002273"</f>
        <v>TFC000002273</v>
      </c>
      <c r="D3438" s="3" t="str">
        <f>"F800-20-2539-(AR 4.6)"</f>
        <v>F800-20-2539-(AR 4.6)</v>
      </c>
      <c r="E3438" s="3" t="str">
        <f>"Dork diaries. 7, tales from a not-so-glam TV star"</f>
        <v>Dork diaries. 7, tales from a not-so-glam TV star</v>
      </c>
      <c r="F3438" s="3" t="str">
        <f>"Rachel Renee Russell, Nikki Russell, Erin Russell"</f>
        <v>Rachel Renee Russell, Nikki Russell, Erin Russell</v>
      </c>
      <c r="G3438" s="3" t="str">
        <f>"Aladdin"</f>
        <v>Aladdin</v>
      </c>
      <c r="H3438" s="2" t="str">
        <f>"2014"</f>
        <v>2014</v>
      </c>
      <c r="I3438" s="3" t="str">
        <f>""</f>
        <v/>
      </c>
    </row>
    <row r="3439" spans="1:9" x14ac:dyDescent="0.3">
      <c r="A3439" s="2">
        <v>3438</v>
      </c>
      <c r="B3439" s="4" t="s">
        <v>47</v>
      </c>
      <c r="C3439" s="3" t="str">
        <f>"TFC000002274"</f>
        <v>TFC000002274</v>
      </c>
      <c r="D3439" s="3" t="str">
        <f>"F800-20-2540-(AR 4.6)"</f>
        <v>F800-20-2540-(AR 4.6)</v>
      </c>
      <c r="E3439" s="3" t="str">
        <f>"Holes"</f>
        <v>Holes</v>
      </c>
      <c r="F3439" s="3" t="str">
        <f>"Louis Sachar"</f>
        <v>Louis Sachar</v>
      </c>
      <c r="G3439" s="3" t="str">
        <f>"Yearling Books"</f>
        <v>Yearling Books</v>
      </c>
      <c r="H3439" s="2" t="str">
        <f>"2015"</f>
        <v>2015</v>
      </c>
      <c r="I3439" s="3" t="str">
        <f>""</f>
        <v/>
      </c>
    </row>
    <row r="3440" spans="1:9" x14ac:dyDescent="0.3">
      <c r="A3440" s="2">
        <v>3439</v>
      </c>
      <c r="B3440" s="4" t="s">
        <v>47</v>
      </c>
      <c r="C3440" s="3" t="str">
        <f>"TFC000002275"</f>
        <v>TFC000002275</v>
      </c>
      <c r="D3440" s="3" t="str">
        <f>"F800-20-2541-(AR 4.6)"</f>
        <v>F800-20-2541-(AR 4.6)</v>
      </c>
      <c r="E3440" s="3" t="str">
        <f>"(The)39 clues. 9, storm warning"</f>
        <v>(The)39 clues. 9, storm warning</v>
      </c>
      <c r="F3440" s="3" t="str">
        <f>"Linda Sue Park"</f>
        <v>Linda Sue Park</v>
      </c>
      <c r="G3440" s="3" t="str">
        <f>"Scholastic"</f>
        <v>Scholastic</v>
      </c>
      <c r="H3440" s="2" t="str">
        <f>"2010"</f>
        <v>2010</v>
      </c>
      <c r="I3440" s="3" t="str">
        <f>""</f>
        <v/>
      </c>
    </row>
    <row r="3441" spans="1:9" x14ac:dyDescent="0.3">
      <c r="A3441" s="2">
        <v>3440</v>
      </c>
      <c r="B3441" s="4" t="s">
        <v>47</v>
      </c>
      <c r="C3441" s="3" t="str">
        <f>"TFC000002276"</f>
        <v>TFC000002276</v>
      </c>
      <c r="D3441" s="3" t="str">
        <f>"F800-20-2542-(AR 4.6)"</f>
        <v>F800-20-2542-(AR 4.6)</v>
      </c>
      <c r="E3441" s="3" t="str">
        <f>"Sammy Keyes and the hotel thief"</f>
        <v>Sammy Keyes and the hotel thief</v>
      </c>
      <c r="F3441" s="3" t="str">
        <f>"by Wendelin Van Draanen"</f>
        <v>by Wendelin Van Draanen</v>
      </c>
      <c r="G3441" s="3" t="str">
        <f>"A Yearling Book"</f>
        <v>A Yearling Book</v>
      </c>
      <c r="H3441" s="2" t="str">
        <f>"2017"</f>
        <v>2017</v>
      </c>
      <c r="I3441" s="3" t="str">
        <f>""</f>
        <v/>
      </c>
    </row>
    <row r="3442" spans="1:9" x14ac:dyDescent="0.3">
      <c r="A3442" s="2">
        <v>3441</v>
      </c>
      <c r="B3442" s="4" t="s">
        <v>47</v>
      </c>
      <c r="C3442" s="3" t="str">
        <f>"TFC000002277"</f>
        <v>TFC000002277</v>
      </c>
      <c r="D3442" s="3" t="str">
        <f>"F800-20-2543-(AR 4.6)"</f>
        <v>F800-20-2543-(AR 4.6)</v>
      </c>
      <c r="E3442" s="3" t="str">
        <f>"One crazy summer"</f>
        <v>One crazy summer</v>
      </c>
      <c r="F3442" s="3" t="str">
        <f>"by Rita Williams-Garcia"</f>
        <v>by Rita Williams-Garcia</v>
      </c>
      <c r="G3442" s="3" t="str">
        <f>"Amistad"</f>
        <v>Amistad</v>
      </c>
      <c r="H3442" s="2" t="str">
        <f>"2012"</f>
        <v>2012</v>
      </c>
      <c r="I3442" s="3" t="str">
        <f>""</f>
        <v/>
      </c>
    </row>
    <row r="3443" spans="1:9" x14ac:dyDescent="0.3">
      <c r="A3443" s="2">
        <v>3442</v>
      </c>
      <c r="B3443" s="4" t="s">
        <v>47</v>
      </c>
      <c r="C3443" s="3" t="str">
        <f>"TFC000002278"</f>
        <v>TFC000002278</v>
      </c>
      <c r="D3443" s="3" t="str">
        <f>"F800-20-2544-(AR 4.6)"</f>
        <v>F800-20-2544-(AR 4.6)</v>
      </c>
      <c r="E3443" s="3" t="str">
        <f>"Breaking Stalin's nose"</f>
        <v>Breaking Stalin's nose</v>
      </c>
      <c r="F3443" s="3" t="str">
        <f>"written and illuatrated by Eugene Yelchin"</f>
        <v>written and illuatrated by Eugene Yelchin</v>
      </c>
      <c r="G3443" s="3" t="str">
        <f>"Henry Holt and Company"</f>
        <v>Henry Holt and Company</v>
      </c>
      <c r="H3443" s="2" t="str">
        <f>"2013"</f>
        <v>2013</v>
      </c>
      <c r="I3443" s="3" t="str">
        <f>""</f>
        <v/>
      </c>
    </row>
    <row r="3444" spans="1:9" x14ac:dyDescent="0.3">
      <c r="A3444" s="2">
        <v>3443</v>
      </c>
      <c r="B3444" s="4" t="s">
        <v>47</v>
      </c>
      <c r="C3444" s="3" t="str">
        <f>"TFC000002279"</f>
        <v>TFC000002279</v>
      </c>
      <c r="D3444" s="3" t="str">
        <f>"F800-20-2545-(AR 4.6)"</f>
        <v>F800-20-2545-(AR 4.6)</v>
      </c>
      <c r="E3444" s="3" t="str">
        <f>"(The)emperor and the kite"</f>
        <v>(The)emperor and the kite</v>
      </c>
      <c r="F3444" s="3" t="str">
        <f>"by Jane Yolen ; illustrated by Ed Young"</f>
        <v>by Jane Yolen ; illustrated by Ed Young</v>
      </c>
      <c r="G3444" s="3" t="str">
        <f>"Puffin Books"</f>
        <v>Puffin Books</v>
      </c>
      <c r="H3444" s="2" t="str">
        <f>"1998"</f>
        <v>1998</v>
      </c>
      <c r="I3444" s="3" t="str">
        <f>""</f>
        <v/>
      </c>
    </row>
    <row r="3445" spans="1:9" x14ac:dyDescent="0.3">
      <c r="A3445" s="2">
        <v>3444</v>
      </c>
      <c r="B3445" s="4" t="s">
        <v>47</v>
      </c>
      <c r="C3445" s="3" t="str">
        <f>"TFC000002280"</f>
        <v>TFC000002280</v>
      </c>
      <c r="D3445" s="3" t="str">
        <f>"F800-20-2546-(AR 4.6)"</f>
        <v>F800-20-2546-(AR 4.6)</v>
      </c>
      <c r="E3445" s="3" t="str">
        <f>"Puss in boots"</f>
        <v>Puss in boots</v>
      </c>
      <c r="F3445" s="3" t="str">
        <f>"by Charles Perrault ; illustrated by Fred Marcellino ; translated by Malcolm Arthur"</f>
        <v>by Charles Perrault ; illustrated by Fred Marcellino ; translated by Malcolm Arthur</v>
      </c>
      <c r="G3445" s="3" t="str">
        <f>"Square Fish"</f>
        <v>Square Fish</v>
      </c>
      <c r="H3445" s="2" t="str">
        <f>"2011"</f>
        <v>2011</v>
      </c>
      <c r="I3445" s="3" t="str">
        <f>""</f>
        <v/>
      </c>
    </row>
    <row r="3446" spans="1:9" x14ac:dyDescent="0.3">
      <c r="A3446" s="2">
        <v>3445</v>
      </c>
      <c r="B3446" s="4" t="s">
        <v>47</v>
      </c>
      <c r="C3446" s="3" t="str">
        <f>"TFC000002281"</f>
        <v>TFC000002281</v>
      </c>
      <c r="D3446" s="3" t="str">
        <f>"F800-20-2547-(AR 4.6)"</f>
        <v>F800-20-2547-(AR 4.6)</v>
      </c>
      <c r="E3446" s="3" t="str">
        <f>"(The)dreamer"</f>
        <v>(The)dreamer</v>
      </c>
      <c r="F3446" s="3" t="str">
        <f>"by Pam Munoz Ryan ; drawings by Peter Sis"</f>
        <v>by Pam Munoz Ryan ; drawings by Peter Sis</v>
      </c>
      <c r="G3446" s="3" t="str">
        <f>"Scholastic"</f>
        <v>Scholastic</v>
      </c>
      <c r="H3446" s="2" t="str">
        <f>"2012"</f>
        <v>2012</v>
      </c>
      <c r="I3446" s="3" t="str">
        <f>""</f>
        <v/>
      </c>
    </row>
    <row r="3447" spans="1:9" x14ac:dyDescent="0.3">
      <c r="A3447" s="2">
        <v>3446</v>
      </c>
      <c r="B3447" s="4" t="s">
        <v>47</v>
      </c>
      <c r="C3447" s="3" t="str">
        <f>"TFC000002282"</f>
        <v>TFC000002282</v>
      </c>
      <c r="D3447" s="3" t="str">
        <f>"F900-20-2555-(AR 4.6)"</f>
        <v>F900-20-2555-(AR 4.6)</v>
      </c>
      <c r="E3447" s="3" t="str">
        <f>"What was the Gold Rush?"</f>
        <v>What was the Gold Rush?</v>
      </c>
      <c r="F3447" s="3" t="str">
        <f>"by Joan Holub ; illustrated by Tim Tomkinson"</f>
        <v>by Joan Holub ; illustrated by Tim Tomkinson</v>
      </c>
      <c r="G3447" s="3" t="str">
        <f>"Penguin Workshop"</f>
        <v>Penguin Workshop</v>
      </c>
      <c r="H3447" s="2" t="str">
        <f>"2013"</f>
        <v>2013</v>
      </c>
      <c r="I3447" s="3" t="str">
        <f>""</f>
        <v/>
      </c>
    </row>
    <row r="3448" spans="1:9" x14ac:dyDescent="0.3">
      <c r="A3448" s="2">
        <v>3447</v>
      </c>
      <c r="B3448" s="4" t="s">
        <v>47</v>
      </c>
      <c r="C3448" s="3" t="str">
        <f>"TFC000002283"</f>
        <v>TFC000002283</v>
      </c>
      <c r="D3448" s="3" t="str">
        <f>"F900-20-2556-(AR 4.6)"</f>
        <v>F900-20-2556-(AR 4.6)</v>
      </c>
      <c r="E3448" s="3" t="str">
        <f>"Mother Teresa"</f>
        <v>Mother Teresa</v>
      </c>
      <c r="F3448" s="3" t="str">
        <f>"written by Mª Isabel Sanchez Vegara ; illustrated by Natascha Rosenberg"</f>
        <v>written by Mª Isabel Sanchez Vegara ; illustrated by Natascha Rosenberg</v>
      </c>
      <c r="G3448" s="3" t="str">
        <f>"Frances Lincoln Children's Books"</f>
        <v>Frances Lincoln Children's Books</v>
      </c>
      <c r="H3448" s="2" t="str">
        <f>"2018"</f>
        <v>2018</v>
      </c>
      <c r="I3448" s="3" t="str">
        <f>""</f>
        <v/>
      </c>
    </row>
    <row r="3449" spans="1:9" x14ac:dyDescent="0.3">
      <c r="A3449" s="2">
        <v>3448</v>
      </c>
      <c r="B3449" s="4" t="s">
        <v>47</v>
      </c>
      <c r="C3449" s="3" t="str">
        <f>"TFC000002284"</f>
        <v>TFC000002284</v>
      </c>
      <c r="D3449" s="3" t="str">
        <f>"F900-20-2557-(AR 4.6)"</f>
        <v>F900-20-2557-(AR 4.6)</v>
      </c>
      <c r="E3449" s="3" t="str">
        <f>"Who was Harriet Tubman?"</f>
        <v>Who was Harriet Tubman?</v>
      </c>
      <c r="F3449" s="3" t="str">
        <f>"by Yona Zeldis McDonough ; illustrated by Nancy Harrison"</f>
        <v>by Yona Zeldis McDonough ; illustrated by Nancy Harrison</v>
      </c>
      <c r="G3449" s="3" t="str">
        <f>"Penguin Workshop"</f>
        <v>Penguin Workshop</v>
      </c>
      <c r="H3449" s="2" t="str">
        <f>"2019"</f>
        <v>2019</v>
      </c>
      <c r="I3449" s="3" t="str">
        <f>""</f>
        <v/>
      </c>
    </row>
    <row r="3450" spans="1:9" x14ac:dyDescent="0.3">
      <c r="A3450" s="2">
        <v>3449</v>
      </c>
      <c r="B3450" s="4" t="s">
        <v>47</v>
      </c>
      <c r="C3450" s="3" t="str">
        <f>"TFC000002285"</f>
        <v>TFC000002285</v>
      </c>
      <c r="D3450" s="3" t="str">
        <f>"F900-20-2558-(AR 4.6)"</f>
        <v>F900-20-2558-(AR 4.6)</v>
      </c>
      <c r="E3450" s="3" t="str">
        <f>"Who was Pablo Picasso?"</f>
        <v>Who was Pablo Picasso?</v>
      </c>
      <c r="F3450" s="3" t="str">
        <f>"written and illustrated by True Kelley"</f>
        <v>written and illustrated by True Kelley</v>
      </c>
      <c r="G3450" s="3" t="str">
        <f>"Grosset &amp; Dunlap"</f>
        <v>Grosset &amp; Dunlap</v>
      </c>
      <c r="H3450" s="2" t="str">
        <f>"2009"</f>
        <v>2009</v>
      </c>
      <c r="I3450" s="3" t="str">
        <f>""</f>
        <v/>
      </c>
    </row>
    <row r="3451" spans="1:9" x14ac:dyDescent="0.3">
      <c r="A3451" s="2">
        <v>3450</v>
      </c>
      <c r="B3451" s="4" t="s">
        <v>47</v>
      </c>
      <c r="C3451" s="3" t="str">
        <f>"TFC000002286"</f>
        <v>TFC000002286</v>
      </c>
      <c r="D3451" s="3" t="str">
        <f>"F900-20-2559-(AR 4.6)"</f>
        <v>F900-20-2559-(AR 4.6)</v>
      </c>
      <c r="E3451" s="3" t="str">
        <f>"Who was Anne Frank?"</f>
        <v>Who was Anne Frank?</v>
      </c>
      <c r="F3451" s="3" t="str">
        <f>"by Ann Abramson ; illustrated by Nancy Harrison"</f>
        <v>by Ann Abramson ; illustrated by Nancy Harrison</v>
      </c>
      <c r="G3451" s="3" t="str">
        <f>"Grosset &amp; Dunlap"</f>
        <v>Grosset &amp; Dunlap</v>
      </c>
      <c r="H3451" s="2" t="str">
        <f>"2007"</f>
        <v>2007</v>
      </c>
      <c r="I3451" s="3" t="str">
        <f>""</f>
        <v/>
      </c>
    </row>
    <row r="3452" spans="1:9" x14ac:dyDescent="0.3">
      <c r="A3452" s="2">
        <v>3451</v>
      </c>
      <c r="B3452" s="4" t="s">
        <v>47</v>
      </c>
      <c r="C3452" s="3" t="str">
        <f>"TFC000002287"</f>
        <v>TFC000002287</v>
      </c>
      <c r="D3452" s="3" t="str">
        <f>"F900-20-2560-(AR 4.6)"</f>
        <v>F900-20-2560-(AR 4.6)</v>
      </c>
      <c r="E3452" s="3" t="str">
        <f>"Who was Roald Dahl?"</f>
        <v>Who was Roald Dahl?</v>
      </c>
      <c r="F3452" s="3" t="str">
        <f>"by True Kelley ; illustrated by Stephen Marchesi"</f>
        <v>by True Kelley ; illustrated by Stephen Marchesi</v>
      </c>
      <c r="G3452" s="3" t="str">
        <f>"Grosset &amp; Dunlap"</f>
        <v>Grosset &amp; Dunlap</v>
      </c>
      <c r="H3452" s="2" t="str">
        <f>"2012"</f>
        <v>2012</v>
      </c>
      <c r="I3452" s="3" t="str">
        <f>""</f>
        <v/>
      </c>
    </row>
    <row r="3453" spans="1:9" x14ac:dyDescent="0.3">
      <c r="A3453" s="2">
        <v>3452</v>
      </c>
      <c r="B3453" s="4" t="s">
        <v>47</v>
      </c>
      <c r="C3453" s="3" t="str">
        <f>"TFC000002903"</f>
        <v>TFC000002903</v>
      </c>
      <c r="D3453" s="3" t="str">
        <f>"F900-20-2561-(AR 4.6)"</f>
        <v>F900-20-2561-(AR 4.6)</v>
      </c>
      <c r="E3453" s="3" t="str">
        <f>"Five notable inventors"</f>
        <v>Five notable inventors</v>
      </c>
      <c r="F3453" s="3" t="str">
        <f>"by Wade Hudson ; llustrated by Ron Garnett"</f>
        <v>by Wade Hudson ; llustrated by Ron Garnett</v>
      </c>
      <c r="G3453" s="3" t="str">
        <f>"Scholastic"</f>
        <v>Scholastic</v>
      </c>
      <c r="H3453" s="2" t="str">
        <f>"2008"</f>
        <v>2008</v>
      </c>
      <c r="I3453" s="3" t="str">
        <f>""</f>
        <v/>
      </c>
    </row>
    <row r="3454" spans="1:9" x14ac:dyDescent="0.3">
      <c r="A3454" s="2">
        <v>3453</v>
      </c>
      <c r="B3454" s="4" t="s">
        <v>47</v>
      </c>
      <c r="C3454" s="3" t="str">
        <f>"TFC000002904"</f>
        <v>TFC000002904</v>
      </c>
      <c r="D3454" s="3" t="str">
        <f>"F800-20-2548-(AR 4.6)"</f>
        <v>F800-20-2548-(AR 4.6)</v>
      </c>
      <c r="E3454" s="3" t="str">
        <f>"In the year of the boar and jackie robinson"</f>
        <v>In the year of the boar and jackie robinson</v>
      </c>
      <c r="F3454" s="3" t="str">
        <f>"by Bette Lord ;  illustrations by Marc Simont"</f>
        <v>by Bette Lord ;  illustrations by Marc Simont</v>
      </c>
      <c r="G3454" s="3" t="str">
        <f>"Harper Trophy"</f>
        <v>Harper Trophy</v>
      </c>
      <c r="H3454" s="2" t="str">
        <f>"1984"</f>
        <v>1984</v>
      </c>
      <c r="I3454" s="3" t="str">
        <f>""</f>
        <v/>
      </c>
    </row>
    <row r="3455" spans="1:9" x14ac:dyDescent="0.3">
      <c r="A3455" s="2">
        <v>3454</v>
      </c>
      <c r="B3455" s="4" t="s">
        <v>47</v>
      </c>
      <c r="C3455" s="3" t="str">
        <f>"TFC000002974"</f>
        <v>TFC000002974</v>
      </c>
      <c r="D3455" s="3" t="str">
        <f>"F800-20-2549-(AR 4.6)"</f>
        <v>F800-20-2549-(AR 4.6)</v>
      </c>
      <c r="E3455" s="3" t="str">
        <f>"Bringing the rain to kapiti"</f>
        <v>Bringing the rain to kapiti</v>
      </c>
      <c r="F3455" s="3" t="str">
        <f>"retold by Verna Aardema ; pictures by Beatriz Vidal"</f>
        <v>retold by Verna Aardema ; pictures by Beatriz Vidal</v>
      </c>
      <c r="G3455" s="3" t="str">
        <f>"Scholastic"</f>
        <v>Scholastic</v>
      </c>
      <c r="H3455" s="2" t="str">
        <f>"1989"</f>
        <v>1989</v>
      </c>
      <c r="I3455" s="3" t="str">
        <f>""</f>
        <v/>
      </c>
    </row>
    <row r="3456" spans="1:9" x14ac:dyDescent="0.3">
      <c r="A3456" s="2">
        <v>3455</v>
      </c>
      <c r="B3456" s="4" t="s">
        <v>47</v>
      </c>
      <c r="C3456" s="3" t="str">
        <f>"TFC000003048"</f>
        <v>TFC000003048</v>
      </c>
      <c r="D3456" s="3" t="str">
        <f>"F800-20-2550-(AR 4.6)"</f>
        <v>F800-20-2550-(AR 4.6)</v>
      </c>
      <c r="E3456" s="3" t="str">
        <f>"(The)Indian in the cupboard"</f>
        <v>(The)Indian in the cupboard</v>
      </c>
      <c r="F3456" s="3" t="str">
        <f>"Lynne Reid Banks ; illustrated by Brock Cole"</f>
        <v>Lynne Reid Banks ; illustrated by Brock Cole</v>
      </c>
      <c r="G3456" s="3" t="str">
        <f>"Yearling"</f>
        <v>Yearling</v>
      </c>
      <c r="H3456" s="2" t="str">
        <f>"2010"</f>
        <v>2010</v>
      </c>
      <c r="I3456" s="3" t="str">
        <f>""</f>
        <v/>
      </c>
    </row>
    <row r="3457" spans="1:9" x14ac:dyDescent="0.3">
      <c r="A3457" s="2">
        <v>3456</v>
      </c>
      <c r="B3457" s="4" t="s">
        <v>47</v>
      </c>
      <c r="C3457" s="3" t="str">
        <f>"TFC000003069"</f>
        <v>TFC000003069</v>
      </c>
      <c r="D3457" s="3" t="str">
        <f>"F800-20-2551-(AR 4.6)"</f>
        <v>F800-20-2551-(AR 4.6)</v>
      </c>
      <c r="E3457" s="3" t="str">
        <f>"Silent days, silent dreams"</f>
        <v>Silent days, silent dreams</v>
      </c>
      <c r="F3457" s="3" t="str">
        <f>"Allen Say"</f>
        <v>Allen Say</v>
      </c>
      <c r="G3457" s="3" t="str">
        <f>"Arthur A. Levine"</f>
        <v>Arthur A. Levine</v>
      </c>
      <c r="H3457" s="2" t="str">
        <f>"2017"</f>
        <v>2017</v>
      </c>
      <c r="I3457" s="3" t="str">
        <f>""</f>
        <v/>
      </c>
    </row>
    <row r="3458" spans="1:9" x14ac:dyDescent="0.3">
      <c r="A3458" s="2">
        <v>3457</v>
      </c>
      <c r="B3458" s="4" t="s">
        <v>47</v>
      </c>
      <c r="C3458" s="3" t="str">
        <f>"TFC000003089"</f>
        <v>TFC000003089</v>
      </c>
      <c r="D3458" s="3" t="str">
        <f>"F800-20-2552-(AR 4.6)"</f>
        <v>F800-20-2552-(AR 4.6)</v>
      </c>
      <c r="E3458" s="3" t="str">
        <f>"(The)secret book"</f>
        <v>(The)secret book</v>
      </c>
      <c r="F3458" s="3" t="str">
        <f>"Danielle Star"</f>
        <v>Danielle Star</v>
      </c>
      <c r="G3458" s="3" t="str">
        <f>"Scholastic"</f>
        <v>Scholastic</v>
      </c>
      <c r="H3458" s="2" t="str">
        <f>"2018"</f>
        <v>2018</v>
      </c>
      <c r="I3458" s="3" t="str">
        <f>""</f>
        <v/>
      </c>
    </row>
    <row r="3459" spans="1:9" x14ac:dyDescent="0.3">
      <c r="A3459" s="2">
        <v>3458</v>
      </c>
      <c r="B3459" s="4" t="s">
        <v>47</v>
      </c>
      <c r="C3459" s="3" t="str">
        <f>"TFC000003095"</f>
        <v>TFC000003095</v>
      </c>
      <c r="D3459" s="3" t="str">
        <f>"F800-20-2553-(AR 4.6)"</f>
        <v>F800-20-2553-(AR 4.6)</v>
      </c>
      <c r="E3459" s="3" t="str">
        <f>"Compass of the stars"</f>
        <v>Compass of the stars</v>
      </c>
      <c r="F3459" s="3" t="str">
        <f>"text by Thea Stilton ; illustrations by Giuseppe Facciotto...[et al.] ; translated by Andrea Schaffer"</f>
        <v>text by Thea Stilton ; illustrations by Giuseppe Facciotto...[et al.] ; translated by Andrea Schaffer</v>
      </c>
      <c r="G3459" s="3" t="str">
        <f>"Scholastic"</f>
        <v>Scholastic</v>
      </c>
      <c r="H3459" s="2" t="str">
        <f>"2020"</f>
        <v>2020</v>
      </c>
      <c r="I3459" s="3" t="str">
        <f>""</f>
        <v/>
      </c>
    </row>
    <row r="3460" spans="1:9" x14ac:dyDescent="0.3">
      <c r="A3460" s="2">
        <v>3459</v>
      </c>
      <c r="B3460" s="4" t="s">
        <v>47</v>
      </c>
      <c r="C3460" s="3" t="str">
        <f>"TFC000003174"</f>
        <v>TFC000003174</v>
      </c>
      <c r="D3460" s="3" t="str">
        <f>"F800-20-2554-(AR 4.6)"</f>
        <v>F800-20-2554-(AR 4.6)</v>
      </c>
      <c r="E3460" s="3" t="str">
        <f>"(The)Japanese Tsunami, 2011"</f>
        <v>(The)Japanese Tsunami, 2011</v>
      </c>
      <c r="F3460" s="3" t="str">
        <f>"by Lauren Tarshis ; illustrated by Scott Dawson"</f>
        <v>by Lauren Tarshis ; illustrated by Scott Dawson</v>
      </c>
      <c r="G3460" s="3" t="str">
        <f>"Scholastic"</f>
        <v>Scholastic</v>
      </c>
      <c r="H3460" s="2" t="str">
        <f>"2013"</f>
        <v>2013</v>
      </c>
      <c r="I3460" s="3" t="str">
        <f>""</f>
        <v/>
      </c>
    </row>
    <row r="3461" spans="1:9" x14ac:dyDescent="0.3">
      <c r="A3461" s="2">
        <v>3460</v>
      </c>
      <c r="B3461" s="4" t="s">
        <v>47</v>
      </c>
      <c r="C3461" s="3" t="str">
        <f>"TFC000003781"</f>
        <v>TFC000003781</v>
      </c>
      <c r="D3461" s="3" t="str">
        <f>"F800-21-0815-(AR 4.6)"</f>
        <v>F800-21-0815-(AR 4.6)</v>
      </c>
      <c r="E3461" s="3" t="str">
        <f>"We dream of space"</f>
        <v>We dream of space</v>
      </c>
      <c r="F3461" s="3" t="str">
        <f>"by Erin Entrada Kelly"</f>
        <v>by Erin Entrada Kelly</v>
      </c>
      <c r="G3461" s="3" t="str">
        <f>"Greenwillow Books"</f>
        <v>Greenwillow Books</v>
      </c>
      <c r="H3461" s="2" t="str">
        <f>"2020"</f>
        <v>2020</v>
      </c>
      <c r="I3461" s="3" t="str">
        <f>""</f>
        <v/>
      </c>
    </row>
    <row r="3462" spans="1:9" x14ac:dyDescent="0.3">
      <c r="A3462" s="2">
        <v>3461</v>
      </c>
      <c r="B3462" s="4" t="s">
        <v>47</v>
      </c>
      <c r="C3462" s="3" t="str">
        <f>"TFC000003824"</f>
        <v>TFC000003824</v>
      </c>
      <c r="D3462" s="3" t="str">
        <f>"F800-21-0816-(AR 4.6)"</f>
        <v>F800-21-0816-(AR 4.6)</v>
      </c>
      <c r="E3462" s="3" t="str">
        <f>"Milo Imagines the world"</f>
        <v>Milo Imagines the world</v>
      </c>
      <c r="F3462" s="3" t="str">
        <f>"words by Matt de la Pena, pictures by Christian Robinson"</f>
        <v>words by Matt de la Pena, pictures by Christian Robinson</v>
      </c>
      <c r="G3462" s="3" t="str">
        <f>"G. P. Putnam's Sons"</f>
        <v>G. P. Putnam's Sons</v>
      </c>
      <c r="H3462" s="2" t="str">
        <f>"2021"</f>
        <v>2021</v>
      </c>
      <c r="I3462" s="3" t="str">
        <f>""</f>
        <v/>
      </c>
    </row>
    <row r="3463" spans="1:9" x14ac:dyDescent="0.3">
      <c r="A3463" s="2">
        <v>3462</v>
      </c>
      <c r="B3463" s="4" t="s">
        <v>47</v>
      </c>
      <c r="C3463" s="3" t="str">
        <f>"TFC000003891"</f>
        <v>TFC000003891</v>
      </c>
      <c r="D3463" s="3" t="str">
        <f>"F800-21-0817-(AR 4.6)"</f>
        <v>F800-21-0817-(AR 4.6)</v>
      </c>
      <c r="E3463" s="3" t="str">
        <f>"Eventown"</f>
        <v>Eventown</v>
      </c>
      <c r="F3463" s="3" t="str">
        <f>"by Corey Ann Haydu"</f>
        <v>by Corey Ann Haydu</v>
      </c>
      <c r="G3463" s="3" t="str">
        <f>"Katherine Tegen Books"</f>
        <v>Katherine Tegen Books</v>
      </c>
      <c r="H3463" s="2" t="str">
        <f>"2020"</f>
        <v>2020</v>
      </c>
      <c r="I3463" s="3" t="str">
        <f>""</f>
        <v/>
      </c>
    </row>
    <row r="3464" spans="1:9" x14ac:dyDescent="0.3">
      <c r="A3464" s="2">
        <v>3463</v>
      </c>
      <c r="B3464" s="4" t="s">
        <v>47</v>
      </c>
      <c r="C3464" s="3" t="str">
        <f>"TFC000004080"</f>
        <v>TFC000004080</v>
      </c>
      <c r="D3464" s="3" t="str">
        <f>"F800-21-0818-(AR 4.6)"</f>
        <v>F800-21-0818-(AR 4.6)</v>
      </c>
      <c r="E3464" s="3" t="str">
        <f>"One kid's trash"</f>
        <v>One kid's trash</v>
      </c>
      <c r="F3464" s="3" t="str">
        <f>"by Jamie Sumner"</f>
        <v>by Jamie Sumner</v>
      </c>
      <c r="G3464" s="3" t="str">
        <f>"Atheneum Books for Young Readers"</f>
        <v>Atheneum Books for Young Readers</v>
      </c>
      <c r="H3464" s="2" t="str">
        <f>"2021"</f>
        <v>2021</v>
      </c>
      <c r="I3464" s="3" t="str">
        <f>""</f>
        <v/>
      </c>
    </row>
    <row r="3465" spans="1:9" x14ac:dyDescent="0.3">
      <c r="A3465" s="2">
        <v>3464</v>
      </c>
      <c r="B3465" s="4" t="s">
        <v>47</v>
      </c>
      <c r="C3465" s="3" t="str">
        <f>"TFC000004081"</f>
        <v>TFC000004081</v>
      </c>
      <c r="D3465" s="3" t="str">
        <f>"F800-21-0819-(AR 4.6)"</f>
        <v>F800-21-0819-(AR 4.6)</v>
      </c>
      <c r="E3465" s="3" t="str">
        <f>"Meranda and the legend of the lake"</f>
        <v>Meranda and the legend of the lake</v>
      </c>
      <c r="F3465" s="3" t="str">
        <f>"by Meagan Mahoney"</f>
        <v>by Meagan Mahoney</v>
      </c>
      <c r="G3465" s="3" t="str">
        <f>"Owlkids"</f>
        <v>Owlkids</v>
      </c>
      <c r="H3465" s="2" t="str">
        <f>"2021"</f>
        <v>2021</v>
      </c>
      <c r="I3465" s="3" t="str">
        <f>""</f>
        <v/>
      </c>
    </row>
    <row r="3466" spans="1:9" x14ac:dyDescent="0.3">
      <c r="A3466" s="2">
        <v>3465</v>
      </c>
      <c r="B3466" s="4" t="s">
        <v>47</v>
      </c>
      <c r="C3466" s="3" t="str">
        <f>"TFC000004082"</f>
        <v>TFC000004082</v>
      </c>
      <c r="D3466" s="3" t="str">
        <f>"F800-21-0820-(AR 4.6)"</f>
        <v>F800-21-0820-(AR 4.6)</v>
      </c>
      <c r="E3466" s="3" t="str">
        <f>"Black boy joy : 17 Stories Celebrating Black Boyhood"</f>
        <v>Black boy joy : 17 Stories Celebrating Black Boyhood</v>
      </c>
      <c r="F3466" s="3" t="str">
        <f>"edited by Kwame Mbalia"</f>
        <v>edited by Kwame Mbalia</v>
      </c>
      <c r="G3466" s="3" t="str">
        <f>"Delacorte Press"</f>
        <v>Delacorte Press</v>
      </c>
      <c r="H3466" s="2" t="str">
        <f>"2021"</f>
        <v>2021</v>
      </c>
      <c r="I3466" s="3" t="str">
        <f>""</f>
        <v/>
      </c>
    </row>
    <row r="3467" spans="1:9" x14ac:dyDescent="0.3">
      <c r="A3467" s="2">
        <v>3466</v>
      </c>
      <c r="B3467" s="4" t="s">
        <v>47</v>
      </c>
      <c r="C3467" s="3" t="str">
        <f>"TFC000004083"</f>
        <v>TFC000004083</v>
      </c>
      <c r="D3467" s="3" t="str">
        <f>"F800-21-0821-(AR 4.6)"</f>
        <v>F800-21-0821-(AR 4.6)</v>
      </c>
      <c r="E3467" s="3" t="str">
        <f>"After the worst thing happens"</f>
        <v>After the worst thing happens</v>
      </c>
      <c r="F3467" s="3" t="str">
        <f>"Audrey Vernick"</f>
        <v>Audrey Vernick</v>
      </c>
      <c r="G3467" s="3" t="str">
        <f>"Holiday House"</f>
        <v>Holiday House</v>
      </c>
      <c r="H3467" s="2" t="str">
        <f>"2020"</f>
        <v>2020</v>
      </c>
      <c r="I3467" s="3" t="str">
        <f>""</f>
        <v/>
      </c>
    </row>
    <row r="3468" spans="1:9" x14ac:dyDescent="0.3">
      <c r="A3468" s="2">
        <v>3467</v>
      </c>
      <c r="B3468" s="4" t="s">
        <v>47</v>
      </c>
      <c r="C3468" s="3" t="str">
        <f>"TFC000004110"</f>
        <v>TFC000004110</v>
      </c>
      <c r="D3468" s="3" t="str">
        <f>"F800-21-0822-(AR 4.6)"</f>
        <v>F800-21-0822-(AR 4.6)</v>
      </c>
      <c r="E3468" s="3" t="str">
        <f>"Speak for yourself"</f>
        <v>Speak for yourself</v>
      </c>
      <c r="F3468" s="3" t="str">
        <f>"by Lana Wood Johnson"</f>
        <v>by Lana Wood Johnson</v>
      </c>
      <c r="G3468" s="3" t="str">
        <f>"Scholastic Press"</f>
        <v>Scholastic Press</v>
      </c>
      <c r="H3468" s="2" t="str">
        <f>"2021"</f>
        <v>2021</v>
      </c>
      <c r="I3468" s="3" t="str">
        <f>""</f>
        <v/>
      </c>
    </row>
    <row r="3469" spans="1:9" x14ac:dyDescent="0.3">
      <c r="A3469" s="2">
        <v>3468</v>
      </c>
      <c r="B3469" s="4" t="s">
        <v>47</v>
      </c>
      <c r="C3469" s="3" t="str">
        <f>"TFC000004209"</f>
        <v>TFC000004209</v>
      </c>
      <c r="D3469" s="3" t="str">
        <f>"F800-22-0094-(AR 4.6)"</f>
        <v>F800-22-0094-(AR 4.6)</v>
      </c>
      <c r="E3469" s="3" t="str">
        <f>"Kitty and the sky garden adventure"</f>
        <v>Kitty and the sky garden adventure</v>
      </c>
      <c r="F3469" s="3" t="str">
        <f>"written by Paula Harrison, illustrated by Jenny Løvlie"</f>
        <v>written by Paula Harrison, illustrated by Jenny Løvlie</v>
      </c>
      <c r="G3469" s="3" t="str">
        <f>"Oxford University Press"</f>
        <v>Oxford University Press</v>
      </c>
      <c r="H3469" s="2" t="str">
        <f>"2019"</f>
        <v>2019</v>
      </c>
      <c r="I3469" s="3" t="str">
        <f>""</f>
        <v/>
      </c>
    </row>
    <row r="3470" spans="1:9" x14ac:dyDescent="0.3">
      <c r="A3470" s="2">
        <v>3469</v>
      </c>
      <c r="B3470" s="4" t="s">
        <v>47</v>
      </c>
      <c r="C3470" s="3" t="str">
        <f>"TFC000004554"</f>
        <v>TFC000004554</v>
      </c>
      <c r="D3470" s="3" t="str">
        <f>"F800-22-0363-(AR4.6)"</f>
        <v>F800-22-0363-(AR4.6)</v>
      </c>
      <c r="E3470" s="3" t="str">
        <f>"Quinn the jade treasure dragon"</f>
        <v>Quinn the jade treasure dragon</v>
      </c>
      <c r="F3470" s="3" t="str">
        <f>"by Maddy Mara, illustrations by Thais Damiao"</f>
        <v>by Maddy Mara, illustrations by Thais Damiao</v>
      </c>
      <c r="G3470" s="3" t="str">
        <f>"Scholastic"</f>
        <v>Scholastic</v>
      </c>
      <c r="H3470" s="2" t="str">
        <f>"2021"</f>
        <v>2021</v>
      </c>
      <c r="I3470" s="3" t="str">
        <f>""</f>
        <v/>
      </c>
    </row>
    <row r="3471" spans="1:9" x14ac:dyDescent="0.3">
      <c r="A3471" s="2">
        <v>3470</v>
      </c>
      <c r="B3471" s="4" t="s">
        <v>47</v>
      </c>
      <c r="C3471" s="3" t="str">
        <f>"TFC000004807"</f>
        <v>TFC000004807</v>
      </c>
      <c r="D3471" s="3" t="str">
        <f>"F800-22-0545-(AR4.6)"</f>
        <v>F800-22-0545-(AR4.6)</v>
      </c>
      <c r="E3471" s="3" t="str">
        <f>"We dream of space"</f>
        <v>We dream of space</v>
      </c>
      <c r="F3471" s="3" t="str">
        <f>"by Erin Entrada Kelly"</f>
        <v>by Erin Entrada Kelly</v>
      </c>
      <c r="G3471" s="3" t="str">
        <f>"Greenwillow Books"</f>
        <v>Greenwillow Books</v>
      </c>
      <c r="H3471" s="2" t="str">
        <f>"2021"</f>
        <v>2021</v>
      </c>
      <c r="I3471" s="3" t="str">
        <f>""</f>
        <v/>
      </c>
    </row>
    <row r="3472" spans="1:9" x14ac:dyDescent="0.3">
      <c r="A3472" s="2">
        <v>3471</v>
      </c>
      <c r="B3472" s="4" t="s">
        <v>47</v>
      </c>
      <c r="C3472" s="3" t="str">
        <f>"TFC000004616"</f>
        <v>TFC000004616</v>
      </c>
      <c r="D3472" s="3" t="str">
        <f>"F800-22-0425-(AR4.6)"</f>
        <v>F800-22-0425-(AR4.6)</v>
      </c>
      <c r="E3472" s="3" t="str">
        <f>"This Is What It Feels Like"</f>
        <v>This Is What It Feels Like</v>
      </c>
      <c r="F3472" s="3" t="str">
        <f>"by Rebecca Barrow"</f>
        <v>by Rebecca Barrow</v>
      </c>
      <c r="G3472" s="3" t="str">
        <f>"HarperTeen"</f>
        <v>HarperTeen</v>
      </c>
      <c r="H3472" s="2" t="str">
        <f>"2018"</f>
        <v>2018</v>
      </c>
      <c r="I3472" s="3" t="str">
        <f>""</f>
        <v/>
      </c>
    </row>
    <row r="3473" spans="1:9" x14ac:dyDescent="0.3">
      <c r="A3473" s="2">
        <v>3472</v>
      </c>
      <c r="B3473" s="4" t="s">
        <v>47</v>
      </c>
      <c r="C3473" s="3" t="str">
        <f>"TFC000004357"</f>
        <v>TFC000004357</v>
      </c>
      <c r="D3473" s="3" t="str">
        <f>"F800-22-0166-(AR4.6)"</f>
        <v>F800-22-0166-(AR4.6)</v>
      </c>
      <c r="E3473" s="3" t="str">
        <f>"Dork diaries. 13, Tales from a Not-So-Happy Birthday"</f>
        <v>Dork diaries. 13, Tales from a Not-So-Happy Birthday</v>
      </c>
      <c r="F3473" s="3" t="str">
        <f>"by Rachel Renee Russell"</f>
        <v>by Rachel Renee Russell</v>
      </c>
      <c r="G3473" s="3" t="str">
        <f>"Aladdin"</f>
        <v>Aladdin</v>
      </c>
      <c r="H3473" s="2" t="str">
        <f>"2012"</f>
        <v>2012</v>
      </c>
      <c r="I3473" s="3" t="str">
        <f>""</f>
        <v/>
      </c>
    </row>
    <row r="3474" spans="1:9" x14ac:dyDescent="0.3">
      <c r="A3474" s="2">
        <v>3473</v>
      </c>
      <c r="B3474" s="4" t="s">
        <v>47</v>
      </c>
      <c r="C3474" s="3" t="str">
        <f>"TFC000004837"</f>
        <v>TFC000004837</v>
      </c>
      <c r="D3474" s="3" t="str">
        <f>"F800-22-0567-(AR4.6)"</f>
        <v>F800-22-0567-(AR4.6)</v>
      </c>
      <c r="E3474" s="3" t="str">
        <f>"Darkness within"</f>
        <v>Darkness within</v>
      </c>
      <c r="F3474" s="3" t="str">
        <f>"by Erin Hunter"</f>
        <v>by Erin Hunter</v>
      </c>
      <c r="G3474" s="3" t="str">
        <f>"Harper"</f>
        <v>Harper</v>
      </c>
      <c r="H3474" s="2" t="str">
        <f>"2020"</f>
        <v>2020</v>
      </c>
      <c r="I3474" s="3" t="str">
        <f>""</f>
        <v/>
      </c>
    </row>
    <row r="3475" spans="1:9" x14ac:dyDescent="0.3">
      <c r="A3475" s="2">
        <v>3474</v>
      </c>
      <c r="B3475" s="4" t="s">
        <v>47</v>
      </c>
      <c r="C3475" s="3" t="str">
        <f>"TFC000004553"</f>
        <v>TFC000004553</v>
      </c>
      <c r="D3475" s="3" t="str">
        <f>"F800-22-0362-(AR4.6)"</f>
        <v>F800-22-0362-(AR4.6)</v>
      </c>
      <c r="E3475" s="3" t="str">
        <f>"(The)Ghoul of Windydown Vale"</f>
        <v>(The)Ghoul of Windydown Vale</v>
      </c>
      <c r="F3475" s="3" t="str">
        <f>"by Jake Burt"</f>
        <v>by Jake Burt</v>
      </c>
      <c r="G3475" s="3" t="str">
        <f>"Feiwel &amp; Friends"</f>
        <v>Feiwel &amp; Friends</v>
      </c>
      <c r="H3475" s="2" t="str">
        <f>"2022"</f>
        <v>2022</v>
      </c>
      <c r="I3475" s="3" t="str">
        <f>""</f>
        <v/>
      </c>
    </row>
    <row r="3476" spans="1:9" x14ac:dyDescent="0.3">
      <c r="A3476" s="2">
        <v>3475</v>
      </c>
      <c r="B3476" s="4" t="s">
        <v>47</v>
      </c>
      <c r="C3476" s="3" t="str">
        <f>"TFC000004555"</f>
        <v>TFC000004555</v>
      </c>
      <c r="D3476" s="3" t="str">
        <f>"F800-22-0364-(AR4.6)"</f>
        <v>F800-22-0364-(AR4.6)</v>
      </c>
      <c r="E3476" s="3" t="str">
        <f>"(The)Sonic Breach"</f>
        <v>(The)Sonic Breach</v>
      </c>
      <c r="F3476" s="3" t="str">
        <f>"by Victor Appleton"</f>
        <v>by Victor Appleton</v>
      </c>
      <c r="G3476" s="3" t="str">
        <f>"Aladdin"</f>
        <v>Aladdin</v>
      </c>
      <c r="H3476" s="2" t="str">
        <f>"2019"</f>
        <v>2019</v>
      </c>
      <c r="I3476" s="3" t="str">
        <f>""</f>
        <v/>
      </c>
    </row>
    <row r="3477" spans="1:9" x14ac:dyDescent="0.3">
      <c r="A3477" s="2">
        <v>3476</v>
      </c>
      <c r="B3477" s="4" t="s">
        <v>47</v>
      </c>
      <c r="C3477" s="3" t="str">
        <f>"TFC000004556"</f>
        <v>TFC000004556</v>
      </c>
      <c r="D3477" s="3" t="str">
        <f>"F800-22-0365-(AR4.6)"</f>
        <v>F800-22-0365-(AR4.6)</v>
      </c>
      <c r="E3477" s="3" t="str">
        <f>"What is the Model Minority Myth?"</f>
        <v>What is the Model Minority Myth?</v>
      </c>
      <c r="F3477" s="3" t="str">
        <f>"by Virginia Loh-Hagan"</f>
        <v>by Virginia Loh-Hagan</v>
      </c>
      <c r="G3477" s="3" t="str">
        <f>"Cherry Lake Publishing"</f>
        <v>Cherry Lake Publishing</v>
      </c>
      <c r="H3477" s="2" t="str">
        <f>"2022"</f>
        <v>2022</v>
      </c>
      <c r="I3477" s="3" t="str">
        <f>""</f>
        <v/>
      </c>
    </row>
    <row r="3478" spans="1:9" x14ac:dyDescent="0.3">
      <c r="A3478" s="2">
        <v>3477</v>
      </c>
      <c r="B3478" s="4" t="s">
        <v>47</v>
      </c>
      <c r="C3478" s="3" t="str">
        <f>"TFC000004557"</f>
        <v>TFC000004557</v>
      </c>
      <c r="D3478" s="3" t="str">
        <f>"F800-22-0366-(AR4.6)"</f>
        <v>F800-22-0366-(AR4.6)</v>
      </c>
      <c r="E3478" s="3" t="str">
        <f>"Yusuf Azeem is Not a Hero"</f>
        <v>Yusuf Azeem is Not a Hero</v>
      </c>
      <c r="F3478" s="3" t="str">
        <f>"by Saadia Faruqi"</f>
        <v>by Saadia Faruqi</v>
      </c>
      <c r="G3478" s="3" t="str">
        <f>"Youth Large Print"</f>
        <v>Youth Large Print</v>
      </c>
      <c r="H3478" s="2" t="str">
        <f>"2022"</f>
        <v>2022</v>
      </c>
      <c r="I3478" s="3" t="str">
        <f>""</f>
        <v/>
      </c>
    </row>
    <row r="3479" spans="1:9" x14ac:dyDescent="0.3">
      <c r="A3479" s="2">
        <v>3478</v>
      </c>
      <c r="B3479" s="4" t="s">
        <v>47</v>
      </c>
      <c r="C3479" s="3" t="str">
        <f>"TFC000004614"</f>
        <v>TFC000004614</v>
      </c>
      <c r="D3479" s="3" t="str">
        <f>"F800-22-0423-(AR4.6)"</f>
        <v>F800-22-0423-(AR4.6)</v>
      </c>
      <c r="E3479" s="3" t="str">
        <f>"(The)Evil Queen"</f>
        <v>(The)Evil Queen</v>
      </c>
      <c r="F3479" s="3" t="str">
        <f>"by Gena Showalter"</f>
        <v>by Gena Showalter</v>
      </c>
      <c r="G3479" s="3" t="str">
        <f>"Inkyard Press"</f>
        <v>Inkyard Press</v>
      </c>
      <c r="H3479" s="2" t="str">
        <f>"2019"</f>
        <v>2019</v>
      </c>
      <c r="I3479" s="3" t="str">
        <f>""</f>
        <v/>
      </c>
    </row>
    <row r="3480" spans="1:9" x14ac:dyDescent="0.3">
      <c r="A3480" s="2">
        <v>3479</v>
      </c>
      <c r="B3480" s="4" t="s">
        <v>47</v>
      </c>
      <c r="C3480" s="3" t="str">
        <f>"TFC000004615"</f>
        <v>TFC000004615</v>
      </c>
      <c r="D3480" s="3" t="str">
        <f>"F800-22-0424-(AR4.6)"</f>
        <v>F800-22-0424-(AR4.6)</v>
      </c>
      <c r="E3480" s="3" t="str">
        <f>"Four Days of You and Me"</f>
        <v>Four Days of You and Me</v>
      </c>
      <c r="F3480" s="3" t="str">
        <f>"by Miranda Kenneally"</f>
        <v>by Miranda Kenneally</v>
      </c>
      <c r="G3480" s="3" t="str">
        <f>"Sourcebooks Fire"</f>
        <v>Sourcebooks Fire</v>
      </c>
      <c r="H3480" s="2" t="str">
        <f>"2020"</f>
        <v>2020</v>
      </c>
      <c r="I3480" s="3" t="str">
        <f>""</f>
        <v/>
      </c>
    </row>
    <row r="3481" spans="1:9" x14ac:dyDescent="0.3">
      <c r="A3481" s="2">
        <v>3480</v>
      </c>
      <c r="B3481" s="4" t="s">
        <v>47</v>
      </c>
      <c r="C3481" s="3" t="str">
        <f>"TFC000004838"</f>
        <v>TFC000004838</v>
      </c>
      <c r="D3481" s="3" t="str">
        <f>"F800-22-0568-(AR4.6)"</f>
        <v>F800-22-0568-(AR4.6)</v>
      </c>
      <c r="E3481" s="3" t="str">
        <f>"Jennifer Chan is not alone"</f>
        <v>Jennifer Chan is not alone</v>
      </c>
      <c r="F3481" s="3" t="str">
        <f>"by Tae Keller"</f>
        <v>by Tae Keller</v>
      </c>
      <c r="G3481" s="3" t="str">
        <f>"Random House"</f>
        <v>Random House</v>
      </c>
      <c r="H3481" s="2" t="str">
        <f>"2022"</f>
        <v>2022</v>
      </c>
      <c r="I3481" s="3" t="str">
        <f>""</f>
        <v/>
      </c>
    </row>
    <row r="3482" spans="1:9" x14ac:dyDescent="0.3">
      <c r="A3482" s="2">
        <v>3481</v>
      </c>
      <c r="B3482" s="4">
        <v>4.5999999999999996</v>
      </c>
      <c r="C3482" s="3" t="str">
        <f>"TFC000004731"</f>
        <v>TFC000004731</v>
      </c>
      <c r="D3482" s="3" t="str">
        <f>"F800-22-0524-7(AR 4.6)"</f>
        <v>F800-22-0524-7(AR 4.6)</v>
      </c>
      <c r="E3482" s="3" t="str">
        <f>"Dork diaries. 7, TV star"</f>
        <v>Dork diaries. 7, TV star</v>
      </c>
      <c r="F3482" s="3" t="str">
        <f>"by Rachel Renee Russell"</f>
        <v>by Rachel Renee Russell</v>
      </c>
      <c r="G3482" s="3" t="str">
        <f>"Simon &amp; Schuster"</f>
        <v>Simon &amp; Schuster</v>
      </c>
      <c r="H3482" s="2" t="str">
        <f>"2016"</f>
        <v>2016</v>
      </c>
      <c r="I3482" s="3" t="str">
        <f>""</f>
        <v/>
      </c>
    </row>
    <row r="3483" spans="1:9" x14ac:dyDescent="0.3">
      <c r="A3483" s="2">
        <v>3482</v>
      </c>
      <c r="B3483" s="4" t="s">
        <v>48</v>
      </c>
      <c r="C3483" s="3" t="str">
        <f>"TFC000002288"</f>
        <v>TFC000002288</v>
      </c>
      <c r="D3483" s="3" t="str">
        <f>"F400-20-2562-(AR 4.7)"</f>
        <v>F400-20-2562-(AR 4.7)</v>
      </c>
      <c r="E3483" s="3" t="str">
        <f>"(The)giant germ"</f>
        <v>(The)giant germ</v>
      </c>
      <c r="F3483" s="3" t="str">
        <f>"written by Anne Capeci ; illustrated by John Speirs"</f>
        <v>written by Anne Capeci ; illustrated by John Speirs</v>
      </c>
      <c r="G3483" s="3" t="str">
        <f>"Scholastic"</f>
        <v>Scholastic</v>
      </c>
      <c r="H3483" s="2" t="str">
        <f>"2000"</f>
        <v>2000</v>
      </c>
      <c r="I3483" s="3" t="str">
        <f>""</f>
        <v/>
      </c>
    </row>
    <row r="3484" spans="1:9" x14ac:dyDescent="0.3">
      <c r="A3484" s="2">
        <v>3483</v>
      </c>
      <c r="B3484" s="4" t="s">
        <v>48</v>
      </c>
      <c r="C3484" s="3" t="str">
        <f>"TFC000002290"</f>
        <v>TFC000002290</v>
      </c>
      <c r="D3484" s="3" t="str">
        <f>"F500-20-2564-(AR 4.7)"</f>
        <v>F500-20-2564-(AR 4.7)</v>
      </c>
      <c r="E3484" s="3" t="str">
        <f>"Locomotive"</f>
        <v>Locomotive</v>
      </c>
      <c r="F3484" s="3" t="str">
        <f>"by Brian Floca"</f>
        <v>by Brian Floca</v>
      </c>
      <c r="G3484" s="3" t="str">
        <f>"Atheneum Books for Young Readers"</f>
        <v>Atheneum Books for Young Readers</v>
      </c>
      <c r="H3484" s="2" t="str">
        <f>"2013"</f>
        <v>2013</v>
      </c>
      <c r="I3484" s="3" t="str">
        <f>""</f>
        <v/>
      </c>
    </row>
    <row r="3485" spans="1:9" x14ac:dyDescent="0.3">
      <c r="A3485" s="2">
        <v>3484</v>
      </c>
      <c r="B3485" s="4" t="s">
        <v>48</v>
      </c>
      <c r="C3485" s="3" t="str">
        <f>"TFC000002291"</f>
        <v>TFC000002291</v>
      </c>
      <c r="D3485" s="3" t="str">
        <f>"F800-20-2565-(AR 4.7)"</f>
        <v>F800-20-2565-(AR 4.7)</v>
      </c>
      <c r="E3485" s="3" t="str">
        <f>"Danny the champion of the world"</f>
        <v>Danny the champion of the world</v>
      </c>
      <c r="F3485" s="3" t="str">
        <f>"Roald Dahl ; illustrated by Quentin Blake"</f>
        <v>Roald Dahl ; illustrated by Quentin Blake</v>
      </c>
      <c r="G3485" s="3" t="str">
        <f>"Puffin Books"</f>
        <v>Puffin Books</v>
      </c>
      <c r="H3485" s="2" t="str">
        <f>"2017"</f>
        <v>2017</v>
      </c>
      <c r="I3485" s="3" t="str">
        <f>""</f>
        <v/>
      </c>
    </row>
    <row r="3486" spans="1:9" x14ac:dyDescent="0.3">
      <c r="A3486" s="2">
        <v>3485</v>
      </c>
      <c r="B3486" s="4" t="s">
        <v>48</v>
      </c>
      <c r="C3486" s="3" t="str">
        <f>"TFC000002292"</f>
        <v>TFC000002292</v>
      </c>
      <c r="D3486" s="3" t="str">
        <f>"F800-20-2566-(AR 4.7)"</f>
        <v>F800-20-2566-(AR 4.7)</v>
      </c>
      <c r="E3486" s="3" t="str">
        <f>"(The)Giraffe and the Pelly and Me"</f>
        <v>(The)Giraffe and the Pelly and Me</v>
      </c>
      <c r="F3486" s="3" t="str">
        <f>"Roald Dahl ; illustrated by Quentin Blake"</f>
        <v>Roald Dahl ; illustrated by Quentin Blake</v>
      </c>
      <c r="G3486" s="3" t="str">
        <f>"Puffin Books"</f>
        <v>Puffin Books</v>
      </c>
      <c r="H3486" s="2" t="str">
        <f>"2013"</f>
        <v>2013</v>
      </c>
      <c r="I3486" s="3" t="str">
        <f>""</f>
        <v/>
      </c>
    </row>
    <row r="3487" spans="1:9" x14ac:dyDescent="0.3">
      <c r="A3487" s="2">
        <v>3486</v>
      </c>
      <c r="B3487" s="4" t="s">
        <v>48</v>
      </c>
      <c r="C3487" s="3" t="str">
        <f>"TFC000002293"</f>
        <v>TFC000002293</v>
      </c>
      <c r="D3487" s="3" t="str">
        <f>"F800-20-2567-(AR 4.7)"</f>
        <v>F800-20-2567-(AR 4.7)</v>
      </c>
      <c r="E3487" s="3" t="str">
        <f>"(The)witches"</f>
        <v>(The)witches</v>
      </c>
      <c r="F3487" s="3" t="str">
        <f>"Roald Dahl ; illustrated by Quentin Blake"</f>
        <v>Roald Dahl ; illustrated by Quentin Blake</v>
      </c>
      <c r="G3487" s="3" t="str">
        <f>"Puffin"</f>
        <v>Puffin</v>
      </c>
      <c r="H3487" s="2" t="str">
        <f>"2017"</f>
        <v>2017</v>
      </c>
      <c r="I3487" s="3" t="str">
        <f>""</f>
        <v/>
      </c>
    </row>
    <row r="3488" spans="1:9" x14ac:dyDescent="0.3">
      <c r="A3488" s="2">
        <v>3487</v>
      </c>
      <c r="B3488" s="4" t="s">
        <v>48</v>
      </c>
      <c r="C3488" s="3" t="str">
        <f>"TFC000002294"</f>
        <v>TFC000002294</v>
      </c>
      <c r="D3488" s="3" t="str">
        <f>"F800-20-2568-(AR 4.7)"</f>
        <v>F800-20-2568-(AR 4.7)</v>
      </c>
      <c r="E3488" s="3" t="str">
        <f>"Drummer Hoff"</f>
        <v>Drummer Hoff</v>
      </c>
      <c r="F3488" s="3" t="str">
        <f>"adaptes by Barbara Emberley ; illustrated by Ed Emberley"</f>
        <v>adaptes by Barbara Emberley ; illustrated by Ed Emberley</v>
      </c>
      <c r="G3488" s="3" t="str">
        <f>"Aladdin Paperbacks"</f>
        <v>Aladdin Paperbacks</v>
      </c>
      <c r="H3488" s="2" t="str">
        <f>"1987"</f>
        <v>1987</v>
      </c>
      <c r="I3488" s="3" t="str">
        <f>""</f>
        <v/>
      </c>
    </row>
    <row r="3489" spans="1:9" x14ac:dyDescent="0.3">
      <c r="A3489" s="2">
        <v>3488</v>
      </c>
      <c r="B3489" s="4" t="s">
        <v>48</v>
      </c>
      <c r="C3489" s="3" t="str">
        <f>"TFC000002295"</f>
        <v>TFC000002295</v>
      </c>
      <c r="D3489" s="3" t="str">
        <f>"F800-20-2569-(AR 4.7)"</f>
        <v>F800-20-2569-(AR 4.7)</v>
      </c>
      <c r="E3489" s="3" t="str">
        <f>"From the mixed-up files of Mrs.Basil E. Frankweiler"</f>
        <v>From the mixed-up files of Mrs.Basil E. Frankweiler</v>
      </c>
      <c r="F3489" s="3" t="str">
        <f>"E.L. Konigsburg"</f>
        <v>E.L. Konigsburg</v>
      </c>
      <c r="G3489" s="3" t="str">
        <f>"Aladdin Paperbacks"</f>
        <v>Aladdin Paperbacks</v>
      </c>
      <c r="H3489" s="2" t="str">
        <f>"2013"</f>
        <v>2013</v>
      </c>
      <c r="I3489" s="3" t="str">
        <f>""</f>
        <v/>
      </c>
    </row>
    <row r="3490" spans="1:9" x14ac:dyDescent="0.3">
      <c r="A3490" s="2">
        <v>3489</v>
      </c>
      <c r="B3490" s="4" t="s">
        <v>48</v>
      </c>
      <c r="C3490" s="3" t="str">
        <f>"TFC000002297"</f>
        <v>TFC000002297</v>
      </c>
      <c r="D3490" s="3" t="str">
        <f>"F800-20-2571-(AR 4.7)"</f>
        <v>F800-20-2571-(AR 4.7)</v>
      </c>
      <c r="E3490" s="3" t="str">
        <f>"(The tale of)Jemema Puddle-Duck"</f>
        <v>(The tale of)Jemema Puddle-Duck</v>
      </c>
      <c r="F3490" s="3" t="str">
        <f>"Beatrix Potter"</f>
        <v>Beatrix Potter</v>
      </c>
      <c r="G3490" s="3" t="str">
        <f>"Frederick Warne"</f>
        <v>Frederick Warne</v>
      </c>
      <c r="H3490" s="2" t="str">
        <f>"2002"</f>
        <v>2002</v>
      </c>
      <c r="I3490" s="3" t="str">
        <f>""</f>
        <v/>
      </c>
    </row>
    <row r="3491" spans="1:9" x14ac:dyDescent="0.3">
      <c r="A3491" s="2">
        <v>3490</v>
      </c>
      <c r="B3491" s="4" t="s">
        <v>48</v>
      </c>
      <c r="C3491" s="3" t="str">
        <f>"TFC000002298"</f>
        <v>TFC000002298</v>
      </c>
      <c r="D3491" s="3" t="str">
        <f>"F800-20-2572-(AR 4.7)"</f>
        <v>F800-20-2572-(AR 4.7)</v>
      </c>
      <c r="E3491" s="3" t="str">
        <f>"Amos &amp; Boris"</f>
        <v>Amos &amp; Boris</v>
      </c>
      <c r="F3491" s="3" t="str">
        <f>"by William Steig"</f>
        <v>by William Steig</v>
      </c>
      <c r="G3491" s="3" t="str">
        <f>"Square Fish"</f>
        <v>Square Fish</v>
      </c>
      <c r="H3491" s="2" t="str">
        <f>"2009"</f>
        <v>2009</v>
      </c>
      <c r="I3491" s="3" t="str">
        <f>""</f>
        <v/>
      </c>
    </row>
    <row r="3492" spans="1:9" x14ac:dyDescent="0.3">
      <c r="A3492" s="2">
        <v>3491</v>
      </c>
      <c r="B3492" s="4" t="s">
        <v>48</v>
      </c>
      <c r="C3492" s="3" t="str">
        <f>"TFC000002300"</f>
        <v>TFC000002300</v>
      </c>
      <c r="D3492" s="3" t="str">
        <f>"F800-20-2574-(AR 4.7)"</f>
        <v>F800-20-2574-(AR 4.7)</v>
      </c>
      <c r="E3492" s="3" t="str">
        <f>"(The)terrible two go wild"</f>
        <v>(The)terrible two go wild</v>
      </c>
      <c r="F3492" s="3" t="str">
        <f>"Mac Barnett, Jory John ; illustrated by Kevin Cornell"</f>
        <v>Mac Barnett, Jory John ; illustrated by Kevin Cornell</v>
      </c>
      <c r="G3492" s="3" t="str">
        <f>"Amulet Books"</f>
        <v>Amulet Books</v>
      </c>
      <c r="H3492" s="2" t="str">
        <f>"2018"</f>
        <v>2018</v>
      </c>
      <c r="I3492" s="3" t="str">
        <f>""</f>
        <v/>
      </c>
    </row>
    <row r="3493" spans="1:9" x14ac:dyDescent="0.3">
      <c r="A3493" s="2">
        <v>3492</v>
      </c>
      <c r="B3493" s="4" t="s">
        <v>48</v>
      </c>
      <c r="C3493" s="3" t="str">
        <f>"TFC000002301"</f>
        <v>TFC000002301</v>
      </c>
      <c r="D3493" s="3" t="str">
        <f>"F800-20-2575-(AR 4.7)"</f>
        <v>F800-20-2575-(AR 4.7)</v>
      </c>
      <c r="E3493" s="3" t="str">
        <f>"(The)family under the bridge"</f>
        <v>(The)family under the bridge</v>
      </c>
      <c r="F3493" s="3" t="str">
        <f>"Natalie Savage Carlson ; pictures by Garth Williams"</f>
        <v>Natalie Savage Carlson ; pictures by Garth Williams</v>
      </c>
      <c r="G3493" s="3" t="str">
        <f>"Harper"</f>
        <v>Harper</v>
      </c>
      <c r="H3493" s="2" t="str">
        <f>"2019"</f>
        <v>2019</v>
      </c>
      <c r="I3493" s="3" t="str">
        <f>""</f>
        <v/>
      </c>
    </row>
    <row r="3494" spans="1:9" x14ac:dyDescent="0.3">
      <c r="A3494" s="2">
        <v>3493</v>
      </c>
      <c r="B3494" s="4" t="s">
        <v>48</v>
      </c>
      <c r="C3494" s="3" t="str">
        <f>"TFC000002302"</f>
        <v>TFC000002302</v>
      </c>
      <c r="D3494" s="3" t="str">
        <f>"F800-20-2576-(AR 4.7)"</f>
        <v>F800-20-2576-(AR 4.7)</v>
      </c>
      <c r="E3494" s="3" t="str">
        <f>"(The)chocolate touch"</f>
        <v>(The)chocolate touch</v>
      </c>
      <c r="F3494" s="3" t="str">
        <f>"Patrick Skene Catling ; pictures by Margot Apple"</f>
        <v>Patrick Skene Catling ; pictures by Margot Apple</v>
      </c>
      <c r="G3494" s="3" t="str">
        <f>"HarperTrophy"</f>
        <v>HarperTrophy</v>
      </c>
      <c r="H3494" s="2" t="str">
        <f>"2006"</f>
        <v>2006</v>
      </c>
      <c r="I3494" s="3" t="str">
        <f>""</f>
        <v/>
      </c>
    </row>
    <row r="3495" spans="1:9" x14ac:dyDescent="0.3">
      <c r="A3495" s="2">
        <v>3494</v>
      </c>
      <c r="B3495" s="4" t="s">
        <v>48</v>
      </c>
      <c r="C3495" s="3" t="str">
        <f>"TFC000002303"</f>
        <v>TFC000002303</v>
      </c>
      <c r="D3495" s="3" t="str">
        <f>"F800-20-2577-(AR 4.7)"</f>
        <v>F800-20-2577-(AR 4.7)</v>
      </c>
      <c r="E3495" s="3" t="str">
        <f>"Henry huggins"</f>
        <v>Henry huggins</v>
      </c>
      <c r="F3495" s="3" t="str">
        <f>"by Beverly Cleary ; illustrated by Jacqueline Rogers"</f>
        <v>by Beverly Cleary ; illustrated by Jacqueline Rogers</v>
      </c>
      <c r="G3495" s="3" t="str">
        <f>"HarperTrophy"</f>
        <v>HarperTrophy</v>
      </c>
      <c r="H3495" s="2" t="str">
        <f>"2016"</f>
        <v>2016</v>
      </c>
      <c r="I3495" s="3" t="str">
        <f>""</f>
        <v/>
      </c>
    </row>
    <row r="3496" spans="1:9" x14ac:dyDescent="0.3">
      <c r="A3496" s="2">
        <v>3495</v>
      </c>
      <c r="B3496" s="4" t="s">
        <v>48</v>
      </c>
      <c r="C3496" s="3" t="str">
        <f>"TFC000002304"</f>
        <v>TFC000002304</v>
      </c>
      <c r="D3496" s="3" t="str">
        <f>"F800-20-2578-(AR 4.7)"</f>
        <v>F800-20-2578-(AR 4.7)</v>
      </c>
      <c r="E3496" s="3" t="str">
        <f>"(The story of)chocolate"</f>
        <v>(The story of)chocolate</v>
      </c>
      <c r="F3496" s="3" t="str">
        <f>"by Katie Daynes ; illustrated by Adam Larkum"</f>
        <v>by Katie Daynes ; illustrated by Adam Larkum</v>
      </c>
      <c r="G3496" s="3" t="str">
        <f>"Usborne"</f>
        <v>Usborne</v>
      </c>
      <c r="H3496" s="2" t="str">
        <f>"2006"</f>
        <v>2006</v>
      </c>
      <c r="I3496" s="3" t="str">
        <f>""</f>
        <v/>
      </c>
    </row>
    <row r="3497" spans="1:9" x14ac:dyDescent="0.3">
      <c r="A3497" s="2">
        <v>3496</v>
      </c>
      <c r="B3497" s="4" t="s">
        <v>48</v>
      </c>
      <c r="C3497" s="3" t="str">
        <f>"TFC000002305"</f>
        <v>TFC000002305</v>
      </c>
      <c r="D3497" s="3" t="str">
        <f>"F800-20-2579-(AR 4.7)"</f>
        <v>F800-20-2579-(AR 4.7)</v>
      </c>
      <c r="E3497" s="3" t="str">
        <f>"(The)tale of Despereaux : being the story of a mouse, a princess, some soup, and a spool of thread"</f>
        <v>(The)tale of Despereaux : being the story of a mouse, a princess, some soup, and a spool of thread</v>
      </c>
      <c r="F3497" s="3" t="str">
        <f>"Kate DiCamillo ; illustrated by Timothy Basil Ering"</f>
        <v>Kate DiCamillo ; illustrated by Timothy Basil Ering</v>
      </c>
      <c r="G3497" s="3" t="str">
        <f>"Candlewick Press"</f>
        <v>Candlewick Press</v>
      </c>
      <c r="H3497" s="2" t="str">
        <f>"2015"</f>
        <v>2015</v>
      </c>
      <c r="I3497" s="3" t="str">
        <f>""</f>
        <v/>
      </c>
    </row>
    <row r="3498" spans="1:9" x14ac:dyDescent="0.3">
      <c r="A3498" s="2">
        <v>3497</v>
      </c>
      <c r="B3498" s="4" t="s">
        <v>48</v>
      </c>
      <c r="C3498" s="3" t="str">
        <f>"TFC000002306"</f>
        <v>TFC000002306</v>
      </c>
      <c r="D3498" s="3" t="str">
        <f>"F800-20-2580-(AR 4.7)"</f>
        <v>F800-20-2580-(AR 4.7)</v>
      </c>
      <c r="E3498" s="3" t="str">
        <f>"(The)ear, the eye, and the arm"</f>
        <v>(The)ear, the eye, and the arm</v>
      </c>
      <c r="F3498" s="3" t="str">
        <f>"by Nancy Farmer"</f>
        <v>by Nancy Farmer</v>
      </c>
      <c r="G3498" s="3" t="str">
        <f>"Scholastic"</f>
        <v>Scholastic</v>
      </c>
      <c r="H3498" s="2" t="str">
        <f>"2012"</f>
        <v>2012</v>
      </c>
      <c r="I3498" s="3" t="str">
        <f>""</f>
        <v/>
      </c>
    </row>
    <row r="3499" spans="1:9" x14ac:dyDescent="0.3">
      <c r="A3499" s="2">
        <v>3498</v>
      </c>
      <c r="B3499" s="4" t="s">
        <v>48</v>
      </c>
      <c r="C3499" s="3" t="str">
        <f>"TFC000002307"</f>
        <v>TFC000002307</v>
      </c>
      <c r="D3499" s="3" t="str">
        <f>"F800-20-2581-(AR 4.7)"</f>
        <v>F800-20-2581-(AR 4.7)</v>
      </c>
      <c r="E3499" s="3" t="str">
        <f>"Extemely Loud &amp; Incredibly close"</f>
        <v>Extemely Loud &amp; Incredibly close</v>
      </c>
      <c r="F3499" s="3" t="str">
        <f>"Jonathon Safran Foer"</f>
        <v>Jonathon Safran Foer</v>
      </c>
      <c r="G3499" s="3" t="str">
        <f>"Houghton Mifflin Harcourt"</f>
        <v>Houghton Mifflin Harcourt</v>
      </c>
      <c r="H3499" s="2" t="str">
        <f>"2005"</f>
        <v>2005</v>
      </c>
      <c r="I3499" s="3" t="str">
        <f>""</f>
        <v/>
      </c>
    </row>
    <row r="3500" spans="1:9" x14ac:dyDescent="0.3">
      <c r="A3500" s="2">
        <v>3499</v>
      </c>
      <c r="B3500" s="4" t="s">
        <v>48</v>
      </c>
      <c r="C3500" s="3" t="str">
        <f>"TFC000002308"</f>
        <v>TFC000002308</v>
      </c>
      <c r="D3500" s="3" t="str">
        <f>"F800-20-2582-(AR 4.7)"</f>
        <v>F800-20-2582-(AR 4.7)</v>
      </c>
      <c r="E3500" s="3" t="str">
        <f>"Olive's ocean"</f>
        <v>Olive's ocean</v>
      </c>
      <c r="F3500" s="3" t="str">
        <f>"by Kevin Henkes"</f>
        <v>by Kevin Henkes</v>
      </c>
      <c r="G3500" s="3" t="str">
        <f>"Greenwillow Books"</f>
        <v>Greenwillow Books</v>
      </c>
      <c r="H3500" s="2" t="str">
        <f>"2005"</f>
        <v>2005</v>
      </c>
      <c r="I3500" s="3" t="str">
        <f>""</f>
        <v/>
      </c>
    </row>
    <row r="3501" spans="1:9" x14ac:dyDescent="0.3">
      <c r="A3501" s="2">
        <v>3500</v>
      </c>
      <c r="B3501" s="4" t="s">
        <v>48</v>
      </c>
      <c r="C3501" s="3" t="str">
        <f>"TFC000002310"</f>
        <v>TFC000002310</v>
      </c>
      <c r="D3501" s="3" t="str">
        <f>"F800-20-2584-(AR 4.7)"</f>
        <v>F800-20-2584-(AR 4.7)</v>
      </c>
      <c r="E3501" s="3" t="str">
        <f>"Kira-kira"</f>
        <v>Kira-kira</v>
      </c>
      <c r="F3501" s="3" t="str">
        <f>"by Cynthia Kadohata"</f>
        <v>by Cynthia Kadohata</v>
      </c>
      <c r="G3501" s="3" t="str">
        <f>"Atheneum Books for Young Readers"</f>
        <v>Atheneum Books for Young Readers</v>
      </c>
      <c r="H3501" s="2" t="str">
        <f>"2004"</f>
        <v>2004</v>
      </c>
      <c r="I3501" s="3" t="str">
        <f>""</f>
        <v/>
      </c>
    </row>
    <row r="3502" spans="1:9" x14ac:dyDescent="0.3">
      <c r="A3502" s="2">
        <v>3501</v>
      </c>
      <c r="B3502" s="4" t="s">
        <v>48</v>
      </c>
      <c r="C3502" s="3" t="str">
        <f>"TFC000002311"</f>
        <v>TFC000002311</v>
      </c>
      <c r="D3502" s="3" t="str">
        <f>"F800-20-2585-(AR 4.7)"</f>
        <v>F800-20-2585-(AR 4.7)</v>
      </c>
      <c r="E3502" s="3" t="str">
        <f>"(The)thing about luck"</f>
        <v>(The)thing about luck</v>
      </c>
      <c r="F3502" s="3" t="str">
        <f>"Cynthia Kadohata ; illustrated by Julia Kuo"</f>
        <v>Cynthia Kadohata ; illustrated by Julia Kuo</v>
      </c>
      <c r="G3502" s="3" t="str">
        <f>"Atheneum Books for Young Readers"</f>
        <v>Atheneum Books for Young Readers</v>
      </c>
      <c r="H3502" s="2" t="str">
        <f>"2013"</f>
        <v>2013</v>
      </c>
      <c r="I3502" s="3" t="str">
        <f>""</f>
        <v/>
      </c>
    </row>
    <row r="3503" spans="1:9" x14ac:dyDescent="0.3">
      <c r="A3503" s="2">
        <v>3502</v>
      </c>
      <c r="B3503" s="4" t="s">
        <v>48</v>
      </c>
      <c r="C3503" s="3" t="str">
        <f>"TFC000002312"</f>
        <v>TFC000002312</v>
      </c>
      <c r="D3503" s="3" t="str">
        <f>"F800-20-2586-(AR 4.7)"</f>
        <v>F800-20-2586-(AR 4.7)</v>
      </c>
      <c r="E3503" s="3" t="str">
        <f>"Hello, universe"</f>
        <v>Hello, universe</v>
      </c>
      <c r="F3503" s="3" t="str">
        <f>"Erin Entrada Kelly"</f>
        <v>Erin Entrada Kelly</v>
      </c>
      <c r="G3503" s="3" t="str">
        <f>"Greenwillow Books"</f>
        <v>Greenwillow Books</v>
      </c>
      <c r="H3503" s="2" t="str">
        <f>"2017"</f>
        <v>2017</v>
      </c>
      <c r="I3503" s="3" t="str">
        <f>""</f>
        <v/>
      </c>
    </row>
    <row r="3504" spans="1:9" x14ac:dyDescent="0.3">
      <c r="A3504" s="2">
        <v>3503</v>
      </c>
      <c r="B3504" s="4" t="s">
        <v>48</v>
      </c>
      <c r="C3504" s="3" t="str">
        <f>"TFC000002313"</f>
        <v>TFC000002313</v>
      </c>
      <c r="D3504" s="3" t="str">
        <f>"F800-20-2587-(AR 4.7)"</f>
        <v>F800-20-2587-(AR 4.7)</v>
      </c>
      <c r="E3504" s="3" t="str">
        <f>"Forging destiny"</f>
        <v>Forging destiny</v>
      </c>
      <c r="F3504" s="3" t="str">
        <f>"Cube Kid ; illustrated by Saboten"</f>
        <v>Cube Kid ; illustrated by Saboten</v>
      </c>
      <c r="G3504" s="3" t="str">
        <f>"Andrews McMeel Publishing"</f>
        <v>Andrews McMeel Publishing</v>
      </c>
      <c r="H3504" s="2" t="str">
        <f>"2018"</f>
        <v>2018</v>
      </c>
      <c r="I3504" s="3" t="str">
        <f>""</f>
        <v/>
      </c>
    </row>
    <row r="3505" spans="1:9" x14ac:dyDescent="0.3">
      <c r="A3505" s="2">
        <v>3504</v>
      </c>
      <c r="B3505" s="4" t="s">
        <v>48</v>
      </c>
      <c r="C3505" s="3" t="str">
        <f>"TFC000002314"</f>
        <v>TFC000002314</v>
      </c>
      <c r="D3505" s="3" t="str">
        <f>"F800-20-2588-(AR 4.7)"</f>
        <v>F800-20-2588-(AR 4.7)</v>
      </c>
      <c r="E3505" s="3" t="str">
        <f>"(A)wrinkle in time"</f>
        <v>(A)wrinkle in time</v>
      </c>
      <c r="F3505" s="3" t="str">
        <f>"Madeleine L'Engle"</f>
        <v>Madeleine L'Engle</v>
      </c>
      <c r="G3505" s="3" t="str">
        <f>"Square Fish"</f>
        <v>Square Fish</v>
      </c>
      <c r="H3505" s="2" t="str">
        <f>"2007"</f>
        <v>2007</v>
      </c>
      <c r="I3505" s="3" t="str">
        <f>""</f>
        <v/>
      </c>
    </row>
    <row r="3506" spans="1:9" x14ac:dyDescent="0.3">
      <c r="A3506" s="2">
        <v>3505</v>
      </c>
      <c r="B3506" s="4" t="s">
        <v>48</v>
      </c>
      <c r="C3506" s="3" t="str">
        <f>"TFC000002316"</f>
        <v>TFC000002316</v>
      </c>
      <c r="D3506" s="3" t="str">
        <f>"F800-20-2590-(AR 4.7)"</f>
        <v>F800-20-2590-(AR 4.7)</v>
      </c>
      <c r="E3506" s="3" t="str">
        <f>"(The)all-new Amelia"</f>
        <v>(The)all-new Amelia</v>
      </c>
      <c r="F3506" s="3" t="str">
        <f>"by Marissa Moss"</f>
        <v>by Marissa Moss</v>
      </c>
      <c r="G3506" s="3" t="str">
        <f>"Simon &amp; Schuster Books for Young Readers"</f>
        <v>Simon &amp; Schuster Books for Young Readers</v>
      </c>
      <c r="H3506" s="2" t="str">
        <f>"2007"</f>
        <v>2007</v>
      </c>
      <c r="I3506" s="3" t="str">
        <f>""</f>
        <v/>
      </c>
    </row>
    <row r="3507" spans="1:9" x14ac:dyDescent="0.3">
      <c r="A3507" s="2">
        <v>3506</v>
      </c>
      <c r="B3507" s="4" t="s">
        <v>48</v>
      </c>
      <c r="C3507" s="3" t="str">
        <f>"TFC000002317"</f>
        <v>TFC000002317</v>
      </c>
      <c r="D3507" s="3" t="str">
        <f>"F800-20-2591-(AR 4.7)"</f>
        <v>F800-20-2591-(AR 4.7)</v>
      </c>
      <c r="E3507" s="3" t="str">
        <f>"It's like this, cat"</f>
        <v>It's like this, cat</v>
      </c>
      <c r="F3507" s="3" t="str">
        <f>"Emily Cheney Neville"</f>
        <v>Emily Cheney Neville</v>
      </c>
      <c r="G3507" s="3" t="str">
        <f>"HarperTrophy"</f>
        <v>HarperTrophy</v>
      </c>
      <c r="H3507" s="2" t="str">
        <f>"2019"</f>
        <v>2019</v>
      </c>
      <c r="I3507" s="3" t="str">
        <f>""</f>
        <v/>
      </c>
    </row>
    <row r="3508" spans="1:9" x14ac:dyDescent="0.3">
      <c r="A3508" s="2">
        <v>3507</v>
      </c>
      <c r="B3508" s="4" t="s">
        <v>48</v>
      </c>
      <c r="C3508" s="3" t="str">
        <f>"TFC000002318"</f>
        <v>TFC000002318</v>
      </c>
      <c r="D3508" s="3" t="str">
        <f>"F800-20-2592-(AR 4.7)"</f>
        <v>F800-20-2592-(AR 4.7)</v>
      </c>
      <c r="E3508" s="3" t="str">
        <f>"(The)fantastic secret of Owen Jester"</f>
        <v>(The)fantastic secret of Owen Jester</v>
      </c>
      <c r="F3508" s="3" t="str">
        <f>"by Barbara O'Connor"</f>
        <v>by Barbara O'Connor</v>
      </c>
      <c r="G3508" s="3" t="str">
        <f>"Square Fish"</f>
        <v>Square Fish</v>
      </c>
      <c r="H3508" s="2" t="str">
        <f>"2011"</f>
        <v>2011</v>
      </c>
      <c r="I3508" s="3" t="str">
        <f>""</f>
        <v/>
      </c>
    </row>
    <row r="3509" spans="1:9" x14ac:dyDescent="0.3">
      <c r="A3509" s="2">
        <v>3508</v>
      </c>
      <c r="B3509" s="4" t="s">
        <v>48</v>
      </c>
      <c r="C3509" s="3" t="str">
        <f>"TFC000002323"</f>
        <v>TFC000002323</v>
      </c>
      <c r="D3509" s="3" t="str">
        <f>"F800-20-2597-(AR 4.7)"</f>
        <v>F800-20-2597-(AR 4.7)</v>
      </c>
      <c r="E3509" s="3" t="str">
        <f>"It's Thanksgiving!"</f>
        <v>It's Thanksgiving!</v>
      </c>
      <c r="F3509" s="3" t="str">
        <f>"by Jack Prelutsky ; pictures by Marilyn Hafner"</f>
        <v>by Jack Prelutsky ; pictures by Marilyn Hafner</v>
      </c>
      <c r="G3509" s="3" t="str">
        <f>"HarperCollins Publishers"</f>
        <v>HarperCollins Publishers</v>
      </c>
      <c r="H3509" s="2" t="str">
        <f>"2007"</f>
        <v>2007</v>
      </c>
      <c r="I3509" s="3" t="str">
        <f>""</f>
        <v/>
      </c>
    </row>
    <row r="3510" spans="1:9" x14ac:dyDescent="0.3">
      <c r="A3510" s="2">
        <v>3509</v>
      </c>
      <c r="B3510" s="4" t="s">
        <v>48</v>
      </c>
      <c r="C3510" s="3" t="str">
        <f>"TFC000002327"</f>
        <v>TFC000002327</v>
      </c>
      <c r="D3510" s="3" t="str">
        <f>"F800-20-2601-(AR 4.7)"</f>
        <v>F800-20-2601-(AR 4.7)</v>
      </c>
      <c r="E3510" s="3" t="str">
        <f>"Thea Stilton and the secret city"</f>
        <v>Thea Stilton and the secret city</v>
      </c>
      <c r="F3510" s="3" t="str">
        <f>"text by Thea Stilton ; illustrations by Alessandro Battan ; translated by Julia Heim"</f>
        <v>text by Thea Stilton ; illustrations by Alessandro Battan ; translated by Julia Heim</v>
      </c>
      <c r="G3510" s="3" t="str">
        <f>"Scholastic"</f>
        <v>Scholastic</v>
      </c>
      <c r="H3510" s="2" t="str">
        <f>"2010"</f>
        <v>2010</v>
      </c>
      <c r="I3510" s="3" t="str">
        <f>""</f>
        <v/>
      </c>
    </row>
    <row r="3511" spans="1:9" x14ac:dyDescent="0.3">
      <c r="A3511" s="2">
        <v>3510</v>
      </c>
      <c r="B3511" s="4" t="s">
        <v>48</v>
      </c>
      <c r="C3511" s="3" t="str">
        <f>"TFC000002328"</f>
        <v>TFC000002328</v>
      </c>
      <c r="D3511" s="3" t="str">
        <f>"F900-20-2605-(AR 4.7)"</f>
        <v>F900-20-2605-(AR 4.7)</v>
      </c>
      <c r="E3511" s="3" t="str">
        <f>"Emmeline Pankhurst"</f>
        <v>Emmeline Pankhurst</v>
      </c>
      <c r="F3511" s="3" t="str">
        <f>"written by Lisbeth Kaiser ; illustrated by Ana Sanfelippo"</f>
        <v>written by Lisbeth Kaiser ; illustrated by Ana Sanfelippo</v>
      </c>
      <c r="G3511" s="3" t="str">
        <f>"Frances Lincoln Children's Books"</f>
        <v>Frances Lincoln Children's Books</v>
      </c>
      <c r="H3511" s="2" t="str">
        <f>"2017"</f>
        <v>2017</v>
      </c>
      <c r="I3511" s="3" t="str">
        <f>""</f>
        <v/>
      </c>
    </row>
    <row r="3512" spans="1:9" x14ac:dyDescent="0.3">
      <c r="A3512" s="2">
        <v>3511</v>
      </c>
      <c r="B3512" s="4" t="s">
        <v>48</v>
      </c>
      <c r="C3512" s="3" t="str">
        <f>"TFC000002329"</f>
        <v>TFC000002329</v>
      </c>
      <c r="D3512" s="3" t="str">
        <f>"F900-20-2606-(AR 4.7)"</f>
        <v>F900-20-2606-(AR 4.7)</v>
      </c>
      <c r="E3512" s="3" t="str">
        <f>"Who is Michelle Obama?"</f>
        <v>Who is Michelle Obama?</v>
      </c>
      <c r="F3512" s="3" t="str">
        <f>"by Megan Stine ; Illustrated by John O'Brien"</f>
        <v>by Megan Stine ; Illustrated by John O'Brien</v>
      </c>
      <c r="G3512" s="3" t="str">
        <f>"Penguin Workshop"</f>
        <v>Penguin Workshop</v>
      </c>
      <c r="H3512" s="2" t="str">
        <f>"2013"</f>
        <v>2013</v>
      </c>
      <c r="I3512" s="3" t="str">
        <f>""</f>
        <v/>
      </c>
    </row>
    <row r="3513" spans="1:9" x14ac:dyDescent="0.3">
      <c r="A3513" s="2">
        <v>3512</v>
      </c>
      <c r="B3513" s="4" t="s">
        <v>48</v>
      </c>
      <c r="C3513" s="3" t="str">
        <f>"TFC000002330"</f>
        <v>TFC000002330</v>
      </c>
      <c r="D3513" s="3" t="str">
        <f>"F900-20-2607-(AR 4.7)"</f>
        <v>F900-20-2607-(AR 4.7)</v>
      </c>
      <c r="E3513" s="3" t="str">
        <f>"Who is Jane Goodall?"</f>
        <v>Who is Jane Goodall?</v>
      </c>
      <c r="F3513" s="3" t="str">
        <f>"by Roberta Edwards ; illustrated by John O'Brien"</f>
        <v>by Roberta Edwards ; illustrated by John O'Brien</v>
      </c>
      <c r="G3513" s="3" t="str">
        <f>"Grosset &amp; Dunlap"</f>
        <v>Grosset &amp; Dunlap</v>
      </c>
      <c r="H3513" s="2" t="str">
        <f>"2012"</f>
        <v>2012</v>
      </c>
      <c r="I3513" s="3" t="str">
        <f>""</f>
        <v/>
      </c>
    </row>
    <row r="3514" spans="1:9" x14ac:dyDescent="0.3">
      <c r="A3514" s="2">
        <v>3513</v>
      </c>
      <c r="B3514" s="4" t="s">
        <v>48</v>
      </c>
      <c r="C3514" s="3" t="str">
        <f>"TFC000002331"</f>
        <v>TFC000002331</v>
      </c>
      <c r="D3514" s="3" t="str">
        <f>"F900-20-2608-(AR 4.7)"</f>
        <v>F900-20-2608-(AR 4.7)</v>
      </c>
      <c r="E3514" s="3" t="str">
        <f>"(The)story of George Washington Carver"</f>
        <v>(The)story of George Washington Carver</v>
      </c>
      <c r="F3514" s="3" t="str">
        <f>"Eva Moore ; illustrated with prints by Alexander Anderson and with photographs"</f>
        <v>Eva Moore ; illustrated with prints by Alexander Anderson and with photographs</v>
      </c>
      <c r="G3514" s="3" t="str">
        <f>"Scholastic"</f>
        <v>Scholastic</v>
      </c>
      <c r="H3514" s="2" t="str">
        <f>"1971"</f>
        <v>1971</v>
      </c>
      <c r="I3514" s="3" t="str">
        <f>""</f>
        <v/>
      </c>
    </row>
    <row r="3515" spans="1:9" x14ac:dyDescent="0.3">
      <c r="A3515" s="2">
        <v>3514</v>
      </c>
      <c r="B3515" s="4" t="s">
        <v>48</v>
      </c>
      <c r="C3515" s="3" t="str">
        <f>"TFC000002332"</f>
        <v>TFC000002332</v>
      </c>
      <c r="D3515" s="3" t="str">
        <f>"F900-20-2609-(AR 4.7)"</f>
        <v>F900-20-2609-(AR 4.7)</v>
      </c>
      <c r="E3515" s="3" t="str">
        <f>"Who was Leonardo da Vinci?"</f>
        <v>Who was Leonardo da Vinci?</v>
      </c>
      <c r="F3515" s="3" t="str">
        <f>"by Roberta Edwards ; illustrated by True Kelley"</f>
        <v>by Roberta Edwards ; illustrated by True Kelley</v>
      </c>
      <c r="G3515" s="3" t="str">
        <f>"Grosset &amp; Dunlap"</f>
        <v>Grosset &amp; Dunlap</v>
      </c>
      <c r="H3515" s="2" t="str">
        <f>"2005"</f>
        <v>2005</v>
      </c>
      <c r="I3515" s="3" t="str">
        <f>""</f>
        <v/>
      </c>
    </row>
    <row r="3516" spans="1:9" x14ac:dyDescent="0.3">
      <c r="A3516" s="2">
        <v>3515</v>
      </c>
      <c r="B3516" s="4" t="s">
        <v>48</v>
      </c>
      <c r="C3516" s="3" t="str">
        <f>"TFC000002333"</f>
        <v>TFC000002333</v>
      </c>
      <c r="D3516" s="3" t="str">
        <f>"F900-20-2610-(AR 4.7)"</f>
        <v>F900-20-2610-(AR 4.7)</v>
      </c>
      <c r="E3516" s="3" t="str">
        <f>"Radiant child : the story of young artist Jean-Michel Basquiat"</f>
        <v>Radiant child : the story of young artist Jean-Michel Basquiat</v>
      </c>
      <c r="F3516" s="3" t="str">
        <f>"Javaka Steptoe"</f>
        <v>Javaka Steptoe</v>
      </c>
      <c r="G3516" s="3" t="str">
        <f>"Little, Brown and Company"</f>
        <v>Little, Brown and Company</v>
      </c>
      <c r="H3516" s="2" t="str">
        <f>"2016"</f>
        <v>2016</v>
      </c>
      <c r="I3516" s="3" t="str">
        <f>""</f>
        <v/>
      </c>
    </row>
    <row r="3517" spans="1:9" x14ac:dyDescent="0.3">
      <c r="A3517" s="2">
        <v>3516</v>
      </c>
      <c r="B3517" s="4" t="s">
        <v>48</v>
      </c>
      <c r="C3517" s="3" t="str">
        <f>"TFC000002334"</f>
        <v>TFC000002334</v>
      </c>
      <c r="D3517" s="3" t="str">
        <f>"F900-20-2611-(AR 4.7)"</f>
        <v>F900-20-2611-(AR 4.7)</v>
      </c>
      <c r="E3517" s="3" t="str">
        <f>"Who was Claude Monet?"</f>
        <v>Who was Claude Monet?</v>
      </c>
      <c r="F3517" s="3" t="str">
        <f>"by Ann Waldron ; illustrated by Stephen Marchesi"</f>
        <v>by Ann Waldron ; illustrated by Stephen Marchesi</v>
      </c>
      <c r="G3517" s="3" t="str">
        <f>"Grosset &amp; Dunlap"</f>
        <v>Grosset &amp; Dunlap</v>
      </c>
      <c r="H3517" s="2" t="str">
        <f>"2009"</f>
        <v>2009</v>
      </c>
      <c r="I3517" s="3" t="str">
        <f>""</f>
        <v/>
      </c>
    </row>
    <row r="3518" spans="1:9" x14ac:dyDescent="0.3">
      <c r="A3518" s="2">
        <v>3517</v>
      </c>
      <c r="B3518" s="4" t="s">
        <v>48</v>
      </c>
      <c r="C3518" s="3" t="str">
        <f>"TFC000003039"</f>
        <v>TFC000003039</v>
      </c>
      <c r="D3518" s="3" t="str">
        <f>"F900-20-2613-(AR 4.7)"</f>
        <v>F900-20-2613-(AR 4.7)</v>
      </c>
      <c r="E3518" s="3" t="str">
        <f>"(A)river ran wild : an environmental history"</f>
        <v>(A)river ran wild : an environmental history</v>
      </c>
      <c r="F3518" s="3" t="str">
        <f>"Lynne Cherry"</f>
        <v>Lynne Cherry</v>
      </c>
      <c r="G3518" s="3" t="str">
        <f>"Voyager Books"</f>
        <v>Voyager Books</v>
      </c>
      <c r="H3518" s="2" t="str">
        <f>"1992"</f>
        <v>1992</v>
      </c>
      <c r="I3518" s="3" t="str">
        <f>""</f>
        <v/>
      </c>
    </row>
    <row r="3519" spans="1:9" x14ac:dyDescent="0.3">
      <c r="A3519" s="2">
        <v>3518</v>
      </c>
      <c r="B3519" s="4" t="s">
        <v>48</v>
      </c>
      <c r="C3519" s="3" t="str">
        <f>"TFC000003405"</f>
        <v>TFC000003405</v>
      </c>
      <c r="D3519" s="3" t="str">
        <f>"F800-21-0825-(AR 4.7)"</f>
        <v>F800-21-0825-(AR 4.7)</v>
      </c>
      <c r="E3519" s="3" t="str">
        <f>"Maniac Magee"</f>
        <v>Maniac Magee</v>
      </c>
      <c r="F3519" s="3" t="str">
        <f>"by Jerry Spinelli"</f>
        <v>by Jerry Spinelli</v>
      </c>
      <c r="G3519" s="3" t="str">
        <f>"Little, Brown"</f>
        <v>Little, Brown</v>
      </c>
      <c r="H3519" s="2" t="str">
        <f>"2015"</f>
        <v>2015</v>
      </c>
      <c r="I3519" s="3" t="str">
        <f>""</f>
        <v/>
      </c>
    </row>
    <row r="3520" spans="1:9" x14ac:dyDescent="0.3">
      <c r="A3520" s="2">
        <v>3519</v>
      </c>
      <c r="B3520" s="4" t="s">
        <v>48</v>
      </c>
      <c r="C3520" s="3" t="str">
        <f>"TFC000003499"</f>
        <v>TFC000003499</v>
      </c>
      <c r="D3520" s="3" t="str">
        <f>"F400-21-0824-(AR 4.7)"</f>
        <v>F400-21-0824-(AR 4.7)</v>
      </c>
      <c r="E3520" s="3" t="str">
        <f>"What if you had animal ears?"</f>
        <v>What if you had animal ears?</v>
      </c>
      <c r="F3520" s="3" t="str">
        <f>"by Sandra Markle, illustrated by Howard McWilliam"</f>
        <v>by Sandra Markle, illustrated by Howard McWilliam</v>
      </c>
      <c r="G3520" s="3" t="str">
        <f>"Scholastic"</f>
        <v>Scholastic</v>
      </c>
      <c r="H3520" s="2" t="str">
        <f>"2016"</f>
        <v>2016</v>
      </c>
      <c r="I3520" s="3" t="str">
        <f>""</f>
        <v/>
      </c>
    </row>
    <row r="3521" spans="1:9" x14ac:dyDescent="0.3">
      <c r="A3521" s="2">
        <v>3520</v>
      </c>
      <c r="B3521" s="4" t="s">
        <v>48</v>
      </c>
      <c r="C3521" s="3" t="str">
        <f>"TFC000004084"</f>
        <v>TFC000004084</v>
      </c>
      <c r="D3521" s="3" t="str">
        <f>"F800-21-0826-(AR 4.7)"</f>
        <v>F800-21-0826-(AR 4.7)</v>
      </c>
      <c r="E3521" s="3" t="str">
        <f>"A BIRD WILL SOAR"</f>
        <v>A BIRD WILL SOAR</v>
      </c>
      <c r="F3521" s="3" t="str">
        <f>"by Alison Green Myers"</f>
        <v>by Alison Green Myers</v>
      </c>
      <c r="G3521" s="3" t="str">
        <f>"Dutton Children's Books"</f>
        <v>Dutton Children's Books</v>
      </c>
      <c r="H3521" s="2" t="str">
        <f>"2021"</f>
        <v>2021</v>
      </c>
      <c r="I3521" s="3" t="str">
        <f>""</f>
        <v/>
      </c>
    </row>
    <row r="3522" spans="1:9" x14ac:dyDescent="0.3">
      <c r="A3522" s="2">
        <v>3521</v>
      </c>
      <c r="B3522" s="4" t="s">
        <v>48</v>
      </c>
      <c r="C3522" s="3" t="str">
        <f>"TFC000004085"</f>
        <v>TFC000004085</v>
      </c>
      <c r="D3522" s="3" t="str">
        <f>"F800-21-0827-(AR 4.7)"</f>
        <v>F800-21-0827-(AR 4.7)</v>
      </c>
      <c r="E3522" s="3" t="str">
        <f>"Let Liberty Rise! : How America's Schoolchildren Helped Save the Statue of Liberty"</f>
        <v>Let Liberty Rise! : How America's Schoolchildren Helped Save the Statue of Liberty</v>
      </c>
      <c r="F3522" s="3" t="str">
        <f>"by Chana Stiefel, illustrated by Chuck Groenink"</f>
        <v>by Chana Stiefel, illustrated by Chuck Groenink</v>
      </c>
      <c r="G3522" s="3" t="str">
        <f>"Scholastic"</f>
        <v>Scholastic</v>
      </c>
      <c r="H3522" s="2" t="str">
        <f>"2021"</f>
        <v>2021</v>
      </c>
      <c r="I3522" s="3" t="str">
        <f>""</f>
        <v/>
      </c>
    </row>
    <row r="3523" spans="1:9" x14ac:dyDescent="0.3">
      <c r="A3523" s="2">
        <v>3522</v>
      </c>
      <c r="B3523" s="4" t="s">
        <v>48</v>
      </c>
      <c r="C3523" s="3" t="str">
        <f>"TFC000004086"</f>
        <v>TFC000004086</v>
      </c>
      <c r="D3523" s="3" t="str">
        <f>"F800-21-0828-(AR 4.7)"</f>
        <v>F800-21-0828-(AR 4.7)</v>
      </c>
      <c r="E3523" s="3" t="str">
        <f>"Jasmine green rescues : A donkey called mistletoe"</f>
        <v>Jasmine green rescues : A donkey called mistletoe</v>
      </c>
      <c r="F3523" s="3" t="str">
        <f>"by Helen Peters, illustrated by Ellie Snowdon"</f>
        <v>by Helen Peters, illustrated by Ellie Snowdon</v>
      </c>
      <c r="G3523" s="3" t="str">
        <f>"Walker Books Us"</f>
        <v>Walker Books Us</v>
      </c>
      <c r="H3523" s="2" t="str">
        <f>"2021"</f>
        <v>2021</v>
      </c>
      <c r="I3523" s="3" t="str">
        <f>""</f>
        <v/>
      </c>
    </row>
    <row r="3524" spans="1:9" x14ac:dyDescent="0.3">
      <c r="A3524" s="2">
        <v>3523</v>
      </c>
      <c r="B3524" s="4" t="s">
        <v>48</v>
      </c>
      <c r="C3524" s="3" t="str">
        <f>"TFC000004180"</f>
        <v>TFC000004180</v>
      </c>
      <c r="D3524" s="3" t="str">
        <f>"F800-21-0829-(AR 4.7)=2"</f>
        <v>F800-21-0829-(AR 4.7)=2</v>
      </c>
      <c r="E3524" s="3" t="str">
        <f>"(The)family under the bridge"</f>
        <v>(The)family under the bridge</v>
      </c>
      <c r="F3524" s="3" t="str">
        <f>"by Natalie Savage Carlson, pictures by Garth Williams"</f>
        <v>by Natalie Savage Carlson, pictures by Garth Williams</v>
      </c>
      <c r="G3524" s="3" t="str">
        <f>"HarperTrophy"</f>
        <v>HarperTrophy</v>
      </c>
      <c r="H3524" s="2" t="str">
        <f>"2019"</f>
        <v>2019</v>
      </c>
      <c r="I3524" s="3" t="str">
        <f>""</f>
        <v/>
      </c>
    </row>
    <row r="3525" spans="1:9" x14ac:dyDescent="0.3">
      <c r="A3525" s="2">
        <v>3524</v>
      </c>
      <c r="B3525" s="4" t="s">
        <v>48</v>
      </c>
      <c r="C3525" s="3" t="str">
        <f>"TFC000004841"</f>
        <v>TFC000004841</v>
      </c>
      <c r="D3525" s="3" t="str">
        <f>"F800-22-0571-(AR 4.7)"</f>
        <v>F800-22-0571-(AR 4.7)</v>
      </c>
      <c r="E3525" s="3" t="str">
        <f>"Treehouse tales : tales too silly to be told...until nowW!"</f>
        <v>Treehouse tales : tales too silly to be told...until nowW!</v>
      </c>
      <c r="F3525" s="3" t="str">
        <f>"by Andy Griffiths"</f>
        <v>by Andy Griffiths</v>
      </c>
      <c r="G3525" s="3" t="str">
        <f>"MacMillan Children's Books"</f>
        <v>MacMillan Children's Books</v>
      </c>
      <c r="H3525" s="2" t="str">
        <f>"2021"</f>
        <v>2021</v>
      </c>
      <c r="I3525" s="3" t="str">
        <f>""</f>
        <v/>
      </c>
    </row>
    <row r="3526" spans="1:9" x14ac:dyDescent="0.3">
      <c r="A3526" s="2">
        <v>3525</v>
      </c>
      <c r="B3526" s="4" t="s">
        <v>48</v>
      </c>
      <c r="C3526" s="3" t="str">
        <f>"TFC000004799"</f>
        <v>TFC000004799</v>
      </c>
      <c r="D3526" s="3" t="str">
        <f>"F800-22-0537-(AR 4.7)"</f>
        <v>F800-22-0537-(AR 4.7)</v>
      </c>
      <c r="E3526" s="3" t="str">
        <f>"Danny the champion of the world"</f>
        <v>Danny the champion of the world</v>
      </c>
      <c r="F3526" s="3" t="str">
        <f>"by Roald Dahl, illustrated by Quentin Blake"</f>
        <v>by Roald Dahl, illustrated by Quentin Blake</v>
      </c>
      <c r="G3526" s="3" t="str">
        <f>"Penguin Books"</f>
        <v>Penguin Books</v>
      </c>
      <c r="H3526" s="2" t="str">
        <f>"2014"</f>
        <v>2014</v>
      </c>
      <c r="I3526" s="3" t="str">
        <f>""</f>
        <v/>
      </c>
    </row>
    <row r="3527" spans="1:9" x14ac:dyDescent="0.3">
      <c r="A3527" s="2">
        <v>3526</v>
      </c>
      <c r="B3527" s="4" t="s">
        <v>48</v>
      </c>
      <c r="C3527" s="3" t="str">
        <f>"TFC000004798"</f>
        <v>TFC000004798</v>
      </c>
      <c r="D3527" s="3" t="str">
        <f>"F800-22-0536-(AR 4.7)"</f>
        <v>F800-22-0536-(AR 4.7)</v>
      </c>
      <c r="E3527" s="3" t="str">
        <f>"(The)Witches"</f>
        <v>(The)Witches</v>
      </c>
      <c r="F3527" s="3" t="str">
        <f>"by Roald Dahl, illustrated by Quentin Blake"</f>
        <v>by Roald Dahl, illustrated by Quentin Blake</v>
      </c>
      <c r="G3527" s="3" t="str">
        <f>"Penguin Books"</f>
        <v>Penguin Books</v>
      </c>
      <c r="H3527" s="2" t="str">
        <f>"2014"</f>
        <v>2014</v>
      </c>
      <c r="I3527" s="3" t="str">
        <f>""</f>
        <v/>
      </c>
    </row>
    <row r="3528" spans="1:9" x14ac:dyDescent="0.3">
      <c r="A3528" s="2">
        <v>3527</v>
      </c>
      <c r="B3528" s="4" t="s">
        <v>48</v>
      </c>
      <c r="C3528" s="3" t="str">
        <f>"TFC000004617"</f>
        <v>TFC000004617</v>
      </c>
      <c r="D3528" s="3" t="str">
        <f>"F800-22-0426-(AR4.7)"</f>
        <v>F800-22-0426-(AR4.7)</v>
      </c>
      <c r="E3528" s="3" t="str">
        <f>"Counting Down with You"</f>
        <v>Counting Down with You</v>
      </c>
      <c r="F3528" s="3" t="str">
        <f>"by Tashie Bhuiyan"</f>
        <v>by Tashie Bhuiyan</v>
      </c>
      <c r="G3528" s="3" t="str">
        <f>"Inkyard Press"</f>
        <v>Inkyard Press</v>
      </c>
      <c r="H3528" s="2" t="str">
        <f>"2021"</f>
        <v>2021</v>
      </c>
      <c r="I3528" s="3" t="str">
        <f>""</f>
        <v/>
      </c>
    </row>
    <row r="3529" spans="1:9" x14ac:dyDescent="0.3">
      <c r="A3529" s="2">
        <v>3528</v>
      </c>
      <c r="B3529" s="4" t="s">
        <v>48</v>
      </c>
      <c r="C3529" s="3" t="str">
        <f>"TFC000004899"</f>
        <v>TFC000004899</v>
      </c>
      <c r="D3529" s="3" t="str">
        <f>"F800-23-0003-(AR4.7)"</f>
        <v>F800-23-0003-(AR4.7)</v>
      </c>
      <c r="E3529" s="3" t="str">
        <f>"Long Lost"</f>
        <v>Long Lost</v>
      </c>
      <c r="F3529" s="3" t="str">
        <f>"by Jacqueline West"</f>
        <v>by Jacqueline West</v>
      </c>
      <c r="G3529" s="3" t="str">
        <f>"Greenwillow Books"</f>
        <v>Greenwillow Books</v>
      </c>
      <c r="H3529" s="2" t="str">
        <f>"2021"</f>
        <v>2021</v>
      </c>
      <c r="I3529" s="3" t="str">
        <f>""</f>
        <v/>
      </c>
    </row>
    <row r="3530" spans="1:9" x14ac:dyDescent="0.3">
      <c r="A3530" s="2">
        <v>3529</v>
      </c>
      <c r="B3530" s="4" t="s">
        <v>48</v>
      </c>
      <c r="C3530" s="3" t="str">
        <f>"TFC000004508"</f>
        <v>TFC000004508</v>
      </c>
      <c r="D3530" s="3" t="str">
        <f>"F800-22-0317-(AR4.7)"</f>
        <v>F800-22-0317-(AR4.7)</v>
      </c>
      <c r="E3530" s="3" t="str">
        <f>"Elsa's icy rescue"</f>
        <v>Elsa's icy rescue</v>
      </c>
      <c r="F3530" s="3" t="str">
        <f>"by Kate Egan, illustrated by Mario Cortes"</f>
        <v>by Kate Egan, illustrated by Mario Cortes</v>
      </c>
      <c r="G3530" s="3" t="str">
        <f>"Disney Press"</f>
        <v>Disney Press</v>
      </c>
      <c r="H3530" s="2" t="str">
        <f>"2020"</f>
        <v>2020</v>
      </c>
      <c r="I3530" s="3" t="str">
        <f>""</f>
        <v/>
      </c>
    </row>
    <row r="3531" spans="1:9" x14ac:dyDescent="0.3">
      <c r="A3531" s="2">
        <v>3530</v>
      </c>
      <c r="B3531" s="4" t="s">
        <v>48</v>
      </c>
      <c r="C3531" s="3" t="str">
        <f>"TFC000004509"</f>
        <v>TFC000004509</v>
      </c>
      <c r="D3531" s="3" t="str">
        <f>"F800-22-0318-(AR4.7)"</f>
        <v>F800-22-0318-(AR4.7)</v>
      </c>
      <c r="E3531" s="3" t="str">
        <f>"(The)fearless flights of Hazel Ying Lee"</f>
        <v>(The)fearless flights of Hazel Ying Lee</v>
      </c>
      <c r="F3531" s="3" t="str">
        <f>"by Julie Leung, Julie Kwon"</f>
        <v>by Julie Leung, Julie Kwon</v>
      </c>
      <c r="G3531" s="3" t="str">
        <f>"Little, Brown and Company"</f>
        <v>Little, Brown and Company</v>
      </c>
      <c r="H3531" s="2" t="str">
        <f>"2021."</f>
        <v>2021.</v>
      </c>
      <c r="I3531" s="3" t="str">
        <f>""</f>
        <v/>
      </c>
    </row>
    <row r="3532" spans="1:9" x14ac:dyDescent="0.3">
      <c r="A3532" s="2">
        <v>3531</v>
      </c>
      <c r="B3532" s="4" t="s">
        <v>48</v>
      </c>
      <c r="C3532" s="3" t="str">
        <f>"TFC000004510"</f>
        <v>TFC000004510</v>
      </c>
      <c r="D3532" s="3" t="str">
        <f>"F800-22-0319-(AR4.7)"</f>
        <v>F800-22-0319-(AR4.7)</v>
      </c>
      <c r="E3532" s="3" t="str">
        <f>"Rosa and Crystal"</f>
        <v>Rosa and Crystal</v>
      </c>
      <c r="F3532" s="3" t="str">
        <f>"by Julie Sykes, illustrated by Lucy Truman"</f>
        <v>by Julie Sykes, illustrated by Lucy Truman</v>
      </c>
      <c r="G3532" s="3" t="str">
        <f>"Random House"</f>
        <v>Random House</v>
      </c>
      <c r="H3532" s="2" t="str">
        <f>"2020"</f>
        <v>2020</v>
      </c>
      <c r="I3532" s="3" t="str">
        <f>""</f>
        <v/>
      </c>
    </row>
    <row r="3533" spans="1:9" x14ac:dyDescent="0.3">
      <c r="A3533" s="2">
        <v>3532</v>
      </c>
      <c r="B3533" s="4" t="s">
        <v>48</v>
      </c>
      <c r="C3533" s="3" t="str">
        <f>"TFC000004558"</f>
        <v>TFC000004558</v>
      </c>
      <c r="D3533" s="3" t="str">
        <f>"F800-22-0367-(AR4.7)"</f>
        <v>F800-22-0367-(AR4.7)</v>
      </c>
      <c r="E3533" s="3" t="str">
        <f>"Leopardstar's honor"</f>
        <v>Leopardstar's honor</v>
      </c>
      <c r="F3533" s="3" t="str">
        <f>"by Erin Hunter"</f>
        <v>by Erin Hunter</v>
      </c>
      <c r="G3533" s="3" t="str">
        <f>"Harper"</f>
        <v>Harper</v>
      </c>
      <c r="H3533" s="2" t="str">
        <f>"2021"</f>
        <v>2021</v>
      </c>
      <c r="I3533" s="3" t="str">
        <f>""</f>
        <v/>
      </c>
    </row>
    <row r="3534" spans="1:9" x14ac:dyDescent="0.3">
      <c r="A3534" s="2">
        <v>3533</v>
      </c>
      <c r="B3534" s="4" t="s">
        <v>48</v>
      </c>
      <c r="C3534" s="3" t="str">
        <f>"TFC000004559"</f>
        <v>TFC000004559</v>
      </c>
      <c r="D3534" s="3" t="str">
        <f>"F800-22-0368-(AR4.7)"</f>
        <v>F800-22-0368-(AR4.7)</v>
      </c>
      <c r="E3534" s="3" t="str">
        <f>"(The)Stolen Slippers"</f>
        <v>(The)Stolen Slippers</v>
      </c>
      <c r="F3534" s="3" t="str">
        <f>"by Melissa De la Cruz"</f>
        <v>by Melissa De la Cruz</v>
      </c>
      <c r="G3534" s="3" t="str">
        <f>"Roaring Brook Press"</f>
        <v>Roaring Brook Press</v>
      </c>
      <c r="H3534" s="2" t="str">
        <f>"2022"</f>
        <v>2022</v>
      </c>
      <c r="I3534" s="3" t="str">
        <f>""</f>
        <v/>
      </c>
    </row>
    <row r="3535" spans="1:9" x14ac:dyDescent="0.3">
      <c r="A3535" s="2">
        <v>3534</v>
      </c>
      <c r="B3535" s="4">
        <v>4.7</v>
      </c>
      <c r="C3535" s="3" t="str">
        <f>"TFC000002320"</f>
        <v>TFC000002320</v>
      </c>
      <c r="D3535" s="3" t="str">
        <f>"F800-20-2594-2(AR 4.7)"</f>
        <v>F800-20-2594-2(AR 4.7)</v>
      </c>
      <c r="E3535" s="3" t="str">
        <f>"Captain Underpants and the attack of the talking toilets"</f>
        <v>Captain Underpants and the attack of the talking toilets</v>
      </c>
      <c r="F3535" s="3" t="str">
        <f>"by Dav Pilkey"</f>
        <v>by Dav Pilkey</v>
      </c>
      <c r="G3535" s="3" t="str">
        <f>"Scholastic"</f>
        <v>Scholastic</v>
      </c>
      <c r="H3535" s="2" t="str">
        <f>"1999"</f>
        <v>1999</v>
      </c>
      <c r="I3535" s="3" t="str">
        <f>""</f>
        <v/>
      </c>
    </row>
    <row r="3536" spans="1:9" x14ac:dyDescent="0.3">
      <c r="A3536" s="2">
        <v>3535</v>
      </c>
      <c r="B3536" s="4">
        <v>4.7</v>
      </c>
      <c r="C3536" s="3" t="str">
        <f>"TFC000003149"</f>
        <v>TFC000003149</v>
      </c>
      <c r="D3536" s="3" t="str">
        <f>"F800-20-2614-2(AR 4.7)=2"</f>
        <v>F800-20-2614-2(AR 4.7)=2</v>
      </c>
      <c r="E3536" s="3" t="str">
        <f>"Captain Underpants and the attack of the talking toilets"</f>
        <v>Captain Underpants and the attack of the talking toilets</v>
      </c>
      <c r="F3536" s="3" t="str">
        <f>"by Dav Pilkey"</f>
        <v>by Dav Pilkey</v>
      </c>
      <c r="G3536" s="3" t="str">
        <f>"Scholastic"</f>
        <v>Scholastic</v>
      </c>
      <c r="H3536" s="2" t="str">
        <f>"2014"</f>
        <v>2014</v>
      </c>
      <c r="I3536" s="3" t="str">
        <f>""</f>
        <v/>
      </c>
    </row>
    <row r="3537" spans="1:9" x14ac:dyDescent="0.3">
      <c r="A3537" s="2">
        <v>3536</v>
      </c>
      <c r="B3537" s="4">
        <v>4.7</v>
      </c>
      <c r="C3537" s="3" t="str">
        <f>"TFC000002321"</f>
        <v>TFC000002321</v>
      </c>
      <c r="D3537" s="3" t="str">
        <f>"F800-20-2595-4(AR 4.7)"</f>
        <v>F800-20-2595-4(AR 4.7)</v>
      </c>
      <c r="E3537" s="3" t="str">
        <f>"Captain underpants and the perilous plot of professor poopypants"</f>
        <v>Captain underpants and the perilous plot of professor poopypants</v>
      </c>
      <c r="F3537" s="3" t="str">
        <f>"by Dav Pilkey"</f>
        <v>by Dav Pilkey</v>
      </c>
      <c r="G3537" s="3" t="str">
        <f>"Scholastic"</f>
        <v>Scholastic</v>
      </c>
      <c r="H3537" s="2" t="str">
        <f>"2000"</f>
        <v>2000</v>
      </c>
      <c r="I3537" s="3" t="str">
        <f>""</f>
        <v/>
      </c>
    </row>
    <row r="3538" spans="1:9" x14ac:dyDescent="0.3">
      <c r="A3538" s="2">
        <v>3537</v>
      </c>
      <c r="B3538" s="4">
        <v>4.7</v>
      </c>
      <c r="C3538" s="3" t="str">
        <f>"TFC000003151"</f>
        <v>TFC000003151</v>
      </c>
      <c r="D3538" s="3" t="str">
        <f>"F800-20-2615-4(AR 4.7)=2"</f>
        <v>F800-20-2615-4(AR 4.7)=2</v>
      </c>
      <c r="E3538" s="3" t="str">
        <f>"Captain Underpants and the perilous plot of Professor Poopypaints"</f>
        <v>Captain Underpants and the perilous plot of Professor Poopypaints</v>
      </c>
      <c r="F3538" s="3" t="str">
        <f>"by Dav Pilkey ; color by Jose Garibaldi"</f>
        <v>by Dav Pilkey ; color by Jose Garibaldi</v>
      </c>
      <c r="G3538" s="3" t="str">
        <f>"Scholastic"</f>
        <v>Scholastic</v>
      </c>
      <c r="H3538" s="2" t="str">
        <f>"2016"</f>
        <v>2016</v>
      </c>
      <c r="I3538" s="3" t="str">
        <f>""</f>
        <v/>
      </c>
    </row>
    <row r="3539" spans="1:9" x14ac:dyDescent="0.3">
      <c r="A3539" s="2">
        <v>3538</v>
      </c>
      <c r="B3539" s="4">
        <v>4.7</v>
      </c>
      <c r="C3539" s="3" t="str">
        <f>"TFC000002325"</f>
        <v>TFC000002325</v>
      </c>
      <c r="D3539" s="3" t="str">
        <f>"F800-20-2599-5(AR 4.7)"</f>
        <v>F800-20-2599-5(AR 4.7)</v>
      </c>
      <c r="E3539" s="3" t="str">
        <f>"Dork diaries. 5, tales from a not-so-smart Miss Know-It-All"</f>
        <v>Dork diaries. 5, tales from a not-so-smart Miss Know-It-All</v>
      </c>
      <c r="F3539" s="3" t="str">
        <f>"Rachel Renee Russell"</f>
        <v>Rachel Renee Russell</v>
      </c>
      <c r="G3539" s="3" t="str">
        <f>"Aladdin"</f>
        <v>Aladdin</v>
      </c>
      <c r="H3539" s="2" t="str">
        <f>"2012"</f>
        <v>2012</v>
      </c>
      <c r="I3539" s="3" t="str">
        <f>""</f>
        <v/>
      </c>
    </row>
    <row r="3540" spans="1:9" x14ac:dyDescent="0.3">
      <c r="A3540" s="2">
        <v>3539</v>
      </c>
      <c r="B3540" s="4">
        <v>4.7</v>
      </c>
      <c r="C3540" s="3" t="str">
        <f>"TFC000002326"</f>
        <v>TFC000002326</v>
      </c>
      <c r="D3540" s="3" t="str">
        <f>"F800-20-2600-5(AR 4.7)"</f>
        <v>F800-20-2600-5(AR 4.7)</v>
      </c>
      <c r="E3540" s="3" t="str">
        <f>"(The)39 clues. 5, the black circle"</f>
        <v>(The)39 clues. 5, the black circle</v>
      </c>
      <c r="F3540" s="3" t="str">
        <f>"Rick Riordan"</f>
        <v>Rick Riordan</v>
      </c>
      <c r="G3540" s="3" t="str">
        <f>"Scholastic"</f>
        <v>Scholastic</v>
      </c>
      <c r="H3540" s="2" t="str">
        <f>"2009"</f>
        <v>2009</v>
      </c>
      <c r="I3540" s="3" t="str">
        <f>""</f>
        <v/>
      </c>
    </row>
    <row r="3541" spans="1:9" x14ac:dyDescent="0.3">
      <c r="A3541" s="2">
        <v>3540</v>
      </c>
      <c r="B3541" s="4">
        <v>4.7</v>
      </c>
      <c r="C3541" s="3" t="str">
        <f>"TFC000004729"</f>
        <v>TFC000004729</v>
      </c>
      <c r="D3541" s="3" t="str">
        <f>"F800-22-0524-5(AR 4.7)"</f>
        <v>F800-22-0524-5(AR 4.7)</v>
      </c>
      <c r="E3541" s="3" t="str">
        <f>"Dork diaries. 5, Dear dork"</f>
        <v>Dork diaries. 5, Dear dork</v>
      </c>
      <c r="F3541" s="3" t="str">
        <f>"by Rachel Renee Russell"</f>
        <v>by Rachel Renee Russell</v>
      </c>
      <c r="G3541" s="3" t="str">
        <f>"Simon &amp; Schuster"</f>
        <v>Simon &amp; Schuster</v>
      </c>
      <c r="H3541" s="2" t="str">
        <f>"2016"</f>
        <v>2016</v>
      </c>
      <c r="I3541" s="3" t="str">
        <f>""</f>
        <v/>
      </c>
    </row>
    <row r="3542" spans="1:9" x14ac:dyDescent="0.3">
      <c r="A3542" s="2">
        <v>3541</v>
      </c>
      <c r="B3542" s="4" t="s">
        <v>48</v>
      </c>
      <c r="C3542" s="3" t="str">
        <f>"TFC000002322"</f>
        <v>TFC000002322</v>
      </c>
      <c r="D3542" s="3" t="str">
        <f>"F800-20-2596-8(AR 4.7)"</f>
        <v>F800-20-2596-8(AR 4.7)</v>
      </c>
      <c r="E3542" s="3" t="str">
        <f>"Captain underpants and the preposterous plight of the purple potty people"</f>
        <v>Captain underpants and the preposterous plight of the purple potty people</v>
      </c>
      <c r="F3542" s="3" t="str">
        <f>"by Dav Pilkey"</f>
        <v>by Dav Pilkey</v>
      </c>
      <c r="G3542" s="3" t="str">
        <f>"Scholastic"</f>
        <v>Scholastic</v>
      </c>
      <c r="H3542" s="2" t="str">
        <f>"2006"</f>
        <v>2006</v>
      </c>
      <c r="I3542" s="3" t="str">
        <f>""</f>
        <v/>
      </c>
    </row>
    <row r="3543" spans="1:9" x14ac:dyDescent="0.3">
      <c r="A3543" s="2">
        <v>3542</v>
      </c>
      <c r="B3543" s="4" t="s">
        <v>48</v>
      </c>
      <c r="C3543" s="3" t="str">
        <f>"TFC000003153"</f>
        <v>TFC000003153</v>
      </c>
      <c r="D3543" s="3" t="str">
        <f>"F800-20-2616-8(AR 4.7)=2"</f>
        <v>F800-20-2616-8(AR 4.7)=2</v>
      </c>
      <c r="E3543" s="3" t="str">
        <f>"Captain Underpants and the preposterous plight of the Purple Potty People"</f>
        <v>Captain Underpants and the preposterous plight of the Purple Potty People</v>
      </c>
      <c r="F3543" s="3" t="str">
        <f>"by Dav Pilkey ; with color by Jose Garibaldi, Corey Barba"</f>
        <v>by Dav Pilkey ; with color by Jose Garibaldi, Corey Barba</v>
      </c>
      <c r="G3543" s="3" t="str">
        <f>"Scholastic"</f>
        <v>Scholastic</v>
      </c>
      <c r="H3543" s="2" t="str">
        <f>"2019"</f>
        <v>2019</v>
      </c>
      <c r="I3543" s="3" t="str">
        <f>""</f>
        <v/>
      </c>
    </row>
    <row r="3544" spans="1:9" x14ac:dyDescent="0.3">
      <c r="A3544" s="2">
        <v>3543</v>
      </c>
      <c r="B3544" s="4" t="s">
        <v>49</v>
      </c>
      <c r="C3544" s="3" t="str">
        <f>"TFC000002335"</f>
        <v>TFC000002335</v>
      </c>
      <c r="D3544" s="3" t="str">
        <f>"F400-20-2619-(AR 4.8)"</f>
        <v>F400-20-2619-(AR 4.8)</v>
      </c>
      <c r="E3544" s="3" t="str">
        <f>"Frogs"</f>
        <v>Frogs</v>
      </c>
      <c r="F3544" s="3" t="str">
        <f>"Nic Bishop"</f>
        <v>Nic Bishop</v>
      </c>
      <c r="G3544" s="3" t="str">
        <f>"Scholastic Nonfiction"</f>
        <v>Scholastic Nonfiction</v>
      </c>
      <c r="H3544" s="2" t="str">
        <f>"2008"</f>
        <v>2008</v>
      </c>
      <c r="I3544" s="3" t="str">
        <f>""</f>
        <v/>
      </c>
    </row>
    <row r="3545" spans="1:9" x14ac:dyDescent="0.3">
      <c r="A3545" s="2">
        <v>3544</v>
      </c>
      <c r="B3545" s="4" t="s">
        <v>49</v>
      </c>
      <c r="C3545" s="3" t="str">
        <f>"TFC000002336"</f>
        <v>TFC000002336</v>
      </c>
      <c r="D3545" s="3" t="str">
        <f>"F800-20-2620-(AR 4.8)"</f>
        <v>F800-20-2620-(AR 4.8)</v>
      </c>
      <c r="E3545" s="3" t="str">
        <f>"Inside out &amp; back again"</f>
        <v>Inside out &amp; back again</v>
      </c>
      <c r="F3545" s="3" t="str">
        <f>"Thanhha Lai"</f>
        <v>Thanhha Lai</v>
      </c>
      <c r="G3545" s="3" t="str">
        <f>"Harper"</f>
        <v>Harper</v>
      </c>
      <c r="H3545" s="2" t="str">
        <f>"2013"</f>
        <v>2013</v>
      </c>
      <c r="I3545" s="3" t="str">
        <f>""</f>
        <v/>
      </c>
    </row>
    <row r="3546" spans="1:9" x14ac:dyDescent="0.3">
      <c r="A3546" s="2">
        <v>3545</v>
      </c>
      <c r="B3546" s="4" t="s">
        <v>49</v>
      </c>
      <c r="C3546" s="3" t="str">
        <f>"TFC000002337"</f>
        <v>TFC000002337</v>
      </c>
      <c r="D3546" s="3" t="str">
        <f>"F800-20-2621-(AR 4.8)"</f>
        <v>F800-20-2621-(AR 4.8)</v>
      </c>
      <c r="E3546" s="3" t="str">
        <f>"(The)trail of tears"</f>
        <v>(The)trail of tears</v>
      </c>
      <c r="F3546" s="3" t="str">
        <f>"by Joseph Bruchac ; illustrated by Diana Magnuson"</f>
        <v>by Joseph Bruchac ; illustrated by Diana Magnuson</v>
      </c>
      <c r="G3546" s="3" t="str">
        <f>"Random House"</f>
        <v>Random House</v>
      </c>
      <c r="H3546" s="2" t="str">
        <f>"1999"</f>
        <v>1999</v>
      </c>
      <c r="I3546" s="3" t="str">
        <f>""</f>
        <v/>
      </c>
    </row>
    <row r="3547" spans="1:9" x14ac:dyDescent="0.3">
      <c r="A3547" s="2">
        <v>3546</v>
      </c>
      <c r="B3547" s="4" t="s">
        <v>49</v>
      </c>
      <c r="C3547" s="3" t="str">
        <f>"TFC000002339"</f>
        <v>TFC000002339</v>
      </c>
      <c r="D3547" s="3" t="str">
        <f>"F800-20-2623-(AR 4.8)"</f>
        <v>F800-20-2623-(AR 4.8)</v>
      </c>
      <c r="E3547" s="3" t="str">
        <f>"Charlie and the chocolate factory"</f>
        <v>Charlie and the chocolate factory</v>
      </c>
      <c r="F3547" s="3" t="str">
        <f>"Roald Dahl ; illustrated by Quentin Blake"</f>
        <v>Roald Dahl ; illustrated by Quentin Blake</v>
      </c>
      <c r="G3547" s="3" t="str">
        <f>"Puffin Books"</f>
        <v>Puffin Books</v>
      </c>
      <c r="H3547" s="2" t="str">
        <f>"2016"</f>
        <v>2016</v>
      </c>
      <c r="I3547" s="3" t="str">
        <f>""</f>
        <v/>
      </c>
    </row>
    <row r="3548" spans="1:9" x14ac:dyDescent="0.3">
      <c r="A3548" s="2">
        <v>3547</v>
      </c>
      <c r="B3548" s="4" t="s">
        <v>49</v>
      </c>
      <c r="C3548" s="3" t="str">
        <f>"TFC000002340"</f>
        <v>TFC000002340</v>
      </c>
      <c r="D3548" s="3" t="str">
        <f>"F800-20-2624-(AR 4.8)"</f>
        <v>F800-20-2624-(AR 4.8)</v>
      </c>
      <c r="E3548" s="3" t="str">
        <f>"Yolonda's genius"</f>
        <v>Yolonda's genius</v>
      </c>
      <c r="F3548" s="3" t="str">
        <f>"by Carol Fenner"</f>
        <v>by Carol Fenner</v>
      </c>
      <c r="G3548" s="3" t="str">
        <f>"Aladdin Paperbacks"</f>
        <v>Aladdin Paperbacks</v>
      </c>
      <c r="H3548" s="2" t="str">
        <f>"1995"</f>
        <v>1995</v>
      </c>
      <c r="I3548" s="3" t="str">
        <f>""</f>
        <v/>
      </c>
    </row>
    <row r="3549" spans="1:9" x14ac:dyDescent="0.3">
      <c r="A3549" s="2">
        <v>3548</v>
      </c>
      <c r="B3549" s="4" t="s">
        <v>49</v>
      </c>
      <c r="C3549" s="3" t="str">
        <f>"TFC000002342"</f>
        <v>TFC000002342</v>
      </c>
      <c r="D3549" s="3" t="str">
        <f>"F800-20-2626-(AR 4.8)"</f>
        <v>F800-20-2626-(AR 4.8)</v>
      </c>
      <c r="E3549" s="3" t="str">
        <f>"(The)light at tern rock"</f>
        <v>(The)light at tern rock</v>
      </c>
      <c r="F3549" s="3" t="str">
        <f>"Julia L. Sauer ; illustrated by Georges Schreiber"</f>
        <v>Julia L. Sauer ; illustrated by Georges Schreiber</v>
      </c>
      <c r="G3549" s="3" t="str">
        <f>"Puffin Books"</f>
        <v>Puffin Books</v>
      </c>
      <c r="H3549" s="2" t="str">
        <f>"1997"</f>
        <v>1997</v>
      </c>
      <c r="I3549" s="3" t="str">
        <f>""</f>
        <v/>
      </c>
    </row>
    <row r="3550" spans="1:9" x14ac:dyDescent="0.3">
      <c r="A3550" s="2">
        <v>3549</v>
      </c>
      <c r="B3550" s="4" t="s">
        <v>49</v>
      </c>
      <c r="C3550" s="3" t="str">
        <f>"TFC000002343"</f>
        <v>TFC000002343</v>
      </c>
      <c r="D3550" s="3" t="str">
        <f>"F800-20-2627-(AR 4.8)"</f>
        <v>F800-20-2627-(AR 4.8)</v>
      </c>
      <c r="E3550" s="3" t="str">
        <f>"Mary Poppins in the park"</f>
        <v>Mary Poppins in the park</v>
      </c>
      <c r="F3550" s="3" t="str">
        <f>"by P. L. Travers ; illustrated by Mary Shepard"</f>
        <v>by P. L. Travers ; illustrated by Mary Shepard</v>
      </c>
      <c r="G3550" s="3" t="str">
        <f>"Houghton Mifflin Harcourt"</f>
        <v>Houghton Mifflin Harcourt</v>
      </c>
      <c r="H3550" s="2" t="str">
        <f>"1997"</f>
        <v>1997</v>
      </c>
      <c r="I3550" s="3" t="str">
        <f>""</f>
        <v/>
      </c>
    </row>
    <row r="3551" spans="1:9" x14ac:dyDescent="0.3">
      <c r="A3551" s="2">
        <v>3550</v>
      </c>
      <c r="B3551" s="4" t="s">
        <v>49</v>
      </c>
      <c r="C3551" s="3" t="str">
        <f>"TFC000002344"</f>
        <v>TFC000002344</v>
      </c>
      <c r="D3551" s="3" t="str">
        <f>"F800-20-2628-(AR 4.8)"</f>
        <v>F800-20-2628-(AR 4.8)</v>
      </c>
      <c r="E3551" s="3" t="str">
        <f>"Franny K. Stein mad scientist. 5, frantastic voyage"</f>
        <v>Franny K. Stein mad scientist. 5, frantastic voyage</v>
      </c>
      <c r="F3551" s="3" t="str">
        <f>"by Jim Benton"</f>
        <v>by Jim Benton</v>
      </c>
      <c r="G3551" s="3" t="str">
        <f>"Aladdin Paperbacks"</f>
        <v>Aladdin Paperbacks</v>
      </c>
      <c r="H3551" s="2" t="str">
        <f>"2006"</f>
        <v>2006</v>
      </c>
      <c r="I3551" s="3" t="str">
        <f>""</f>
        <v/>
      </c>
    </row>
    <row r="3552" spans="1:9" x14ac:dyDescent="0.3">
      <c r="A3552" s="2">
        <v>3551</v>
      </c>
      <c r="B3552" s="4" t="s">
        <v>49</v>
      </c>
      <c r="C3552" s="3" t="str">
        <f>"TFC000002345"</f>
        <v>TFC000002345</v>
      </c>
      <c r="D3552" s="3" t="str">
        <f>"F800-20-2629-(AR 4.8)"</f>
        <v>F800-20-2629-(AR 4.8)</v>
      </c>
      <c r="E3552" s="3" t="str">
        <f>"Beezus and Ramona"</f>
        <v>Beezus and Ramona</v>
      </c>
      <c r="F3552" s="3" t="str">
        <f>"Beverly Cleary ; illustrated by Jacqueline Rogers"</f>
        <v>Beverly Cleary ; illustrated by Jacqueline Rogers</v>
      </c>
      <c r="G3552" s="3" t="str">
        <f>"Harper"</f>
        <v>Harper</v>
      </c>
      <c r="H3552" s="2" t="str">
        <f>"2020"</f>
        <v>2020</v>
      </c>
      <c r="I3552" s="3" t="str">
        <f>""</f>
        <v/>
      </c>
    </row>
    <row r="3553" spans="1:9" x14ac:dyDescent="0.3">
      <c r="A3553" s="2">
        <v>3552</v>
      </c>
      <c r="B3553" s="4" t="s">
        <v>49</v>
      </c>
      <c r="C3553" s="3" t="str">
        <f>"TFC000002349"</f>
        <v>TFC000002349</v>
      </c>
      <c r="D3553" s="3" t="str">
        <f>"F800-20-2633-(AR 4.8)"</f>
        <v>F800-20-2633-(AR 4.8)</v>
      </c>
      <c r="E3553" s="3" t="str">
        <f>"Gregor the overlander"</f>
        <v>Gregor the overlander</v>
      </c>
      <c r="F3553" s="3" t="str">
        <f>"Suzanne Collins"</f>
        <v>Suzanne Collins</v>
      </c>
      <c r="G3553" s="3" t="str">
        <f>"Scholastic"</f>
        <v>Scholastic</v>
      </c>
      <c r="H3553" s="2" t="str">
        <f>"2004"</f>
        <v>2004</v>
      </c>
      <c r="I3553" s="3" t="str">
        <f>""</f>
        <v/>
      </c>
    </row>
    <row r="3554" spans="1:9" x14ac:dyDescent="0.3">
      <c r="A3554" s="2">
        <v>3553</v>
      </c>
      <c r="B3554" s="4" t="s">
        <v>49</v>
      </c>
      <c r="C3554" s="3" t="str">
        <f>"TFC000002350"</f>
        <v>TFC000002350</v>
      </c>
      <c r="D3554" s="3" t="str">
        <f>"F800-20-2634-(AR 4.8)"</f>
        <v>F800-20-2634-(AR 4.8)</v>
      </c>
      <c r="E3554" s="3" t="str">
        <f>"James and the giant peach"</f>
        <v>James and the giant peach</v>
      </c>
      <c r="F3554" s="3" t="str">
        <f>"Roald Dahl ; illustrated by Quentin Blake"</f>
        <v>Roald Dahl ; illustrated by Quentin Blake</v>
      </c>
      <c r="G3554" s="3" t="str">
        <f>"Puffin Books"</f>
        <v>Puffin Books</v>
      </c>
      <c r="H3554" s="2" t="str">
        <f>"2011"</f>
        <v>2011</v>
      </c>
      <c r="I3554" s="3" t="str">
        <f>""</f>
        <v/>
      </c>
    </row>
    <row r="3555" spans="1:9" x14ac:dyDescent="0.3">
      <c r="A3555" s="2">
        <v>3554</v>
      </c>
      <c r="B3555" s="4" t="s">
        <v>49</v>
      </c>
      <c r="C3555" s="3" t="str">
        <f>"TFC000002351"</f>
        <v>TFC000002351</v>
      </c>
      <c r="D3555" s="3" t="str">
        <f>"F800-20-2635-(AR 4.8)"</f>
        <v>F800-20-2635-(AR 4.8)</v>
      </c>
      <c r="E3555" s="3" t="str">
        <f>"Flipped"</f>
        <v>Flipped</v>
      </c>
      <c r="F3555" s="3" t="str">
        <f>"by Wendelin Van Draanen"</f>
        <v>by Wendelin Van Draanen</v>
      </c>
      <c r="G3555" s="3" t="str">
        <f>"Ember"</f>
        <v>Ember</v>
      </c>
      <c r="H3555" s="2" t="str">
        <f>"2016"</f>
        <v>2016</v>
      </c>
      <c r="I3555" s="3" t="str">
        <f>""</f>
        <v/>
      </c>
    </row>
    <row r="3556" spans="1:9" x14ac:dyDescent="0.3">
      <c r="A3556" s="2">
        <v>3555</v>
      </c>
      <c r="B3556" s="4" t="s">
        <v>49</v>
      </c>
      <c r="C3556" s="3" t="str">
        <f>"TFC000002352"</f>
        <v>TFC000002352</v>
      </c>
      <c r="D3556" s="3" t="str">
        <f>"F800-20-2636-(AR 4.8)"</f>
        <v>F800-20-2636-(AR 4.8)</v>
      </c>
      <c r="E3556" s="3" t="str">
        <f>"(The)homework machine"</f>
        <v>(The)homework machine</v>
      </c>
      <c r="F3556" s="3" t="str">
        <f>"by Dan Gutman"</f>
        <v>by Dan Gutman</v>
      </c>
      <c r="G3556" s="3" t="str">
        <f>"Simon &amp; Schuster Books for Young Readers"</f>
        <v>Simon &amp; Schuster Books for Young Readers</v>
      </c>
      <c r="H3556" s="2" t="str">
        <f>"2007"</f>
        <v>2007</v>
      </c>
      <c r="I3556" s="3" t="str">
        <f>""</f>
        <v/>
      </c>
    </row>
    <row r="3557" spans="1:9" x14ac:dyDescent="0.3">
      <c r="A3557" s="2">
        <v>3556</v>
      </c>
      <c r="B3557" s="4" t="s">
        <v>49</v>
      </c>
      <c r="C3557" s="3" t="str">
        <f>"TFC000002353"</f>
        <v>TFC000002353</v>
      </c>
      <c r="D3557" s="3" t="str">
        <f>"F800-20-2637-(AR 4.8)"</f>
        <v>F800-20-2637-(AR 4.8)</v>
      </c>
      <c r="E3557" s="3" t="str">
        <f>"Junonia"</f>
        <v>Junonia</v>
      </c>
      <c r="F3557" s="3" t="str">
        <f>"Kevin Henkes"</f>
        <v>Kevin Henkes</v>
      </c>
      <c r="G3557" s="3" t="str">
        <f>"Greenwillow Books"</f>
        <v>Greenwillow Books</v>
      </c>
      <c r="H3557" s="2" t="str">
        <f>"2012"</f>
        <v>2012</v>
      </c>
      <c r="I3557" s="3" t="str">
        <f>""</f>
        <v/>
      </c>
    </row>
    <row r="3558" spans="1:9" x14ac:dyDescent="0.3">
      <c r="A3558" s="2">
        <v>3557</v>
      </c>
      <c r="B3558" s="4" t="s">
        <v>49</v>
      </c>
      <c r="C3558" s="3" t="str">
        <f>"TFC000002354"</f>
        <v>TFC000002354</v>
      </c>
      <c r="D3558" s="3" t="str">
        <f>"F800-20-2638-(AR 4.8)"</f>
        <v>F800-20-2638-(AR 4.8)</v>
      </c>
      <c r="E3558" s="3" t="str">
        <f>"Hollywood, dead ahead"</f>
        <v>Hollywood, dead ahead</v>
      </c>
      <c r="F3558" s="3" t="str">
        <f>"Kate Klise ; illustrated by M. Sarah Klise"</f>
        <v>Kate Klise ; illustrated by M. Sarah Klise</v>
      </c>
      <c r="G3558" s="3" t="str">
        <f>"Houghton Mifflin Harcourt"</f>
        <v>Houghton Mifflin Harcourt</v>
      </c>
      <c r="H3558" s="2" t="str">
        <f>"2013"</f>
        <v>2013</v>
      </c>
      <c r="I3558" s="3" t="str">
        <f>""</f>
        <v/>
      </c>
    </row>
    <row r="3559" spans="1:9" x14ac:dyDescent="0.3">
      <c r="A3559" s="2">
        <v>3558</v>
      </c>
      <c r="B3559" s="4" t="s">
        <v>49</v>
      </c>
      <c r="C3559" s="3" t="str">
        <f>"TFC000002355"</f>
        <v>TFC000002355</v>
      </c>
      <c r="D3559" s="3" t="str">
        <f>"F800-20-2639-(AR 4.8)"</f>
        <v>F800-20-2639-(AR 4.8)</v>
      </c>
      <c r="E3559" s="3" t="str">
        <f>"Breaking dawn"</f>
        <v>Breaking dawn</v>
      </c>
      <c r="F3559" s="3" t="str">
        <f>"by Stephenie Meyer"</f>
        <v>by Stephenie Meyer</v>
      </c>
      <c r="G3559" s="3" t="str">
        <f>"Little, Brown and Company"</f>
        <v>Little, Brown and Company</v>
      </c>
      <c r="H3559" s="2" t="str">
        <f>"2008"</f>
        <v>2008</v>
      </c>
      <c r="I3559" s="3" t="str">
        <f>""</f>
        <v/>
      </c>
    </row>
    <row r="3560" spans="1:9" x14ac:dyDescent="0.3">
      <c r="A3560" s="2">
        <v>3559</v>
      </c>
      <c r="B3560" s="4" t="s">
        <v>49</v>
      </c>
      <c r="C3560" s="3" t="str">
        <f>"TFC000002357"</f>
        <v>TFC000002357</v>
      </c>
      <c r="D3560" s="3" t="str">
        <f>"F800-20-2641-(AR 4.8)"</f>
        <v>F800-20-2641-(AR 4.8)</v>
      </c>
      <c r="E3560" s="3" t="str">
        <f>"Magnus Chase and the gods of Asgard. 1, the sword of summer"</f>
        <v>Magnus Chase and the gods of Asgard. 1, the sword of summer</v>
      </c>
      <c r="F3560" s="3" t="str">
        <f>"Rick Riordan"</f>
        <v>Rick Riordan</v>
      </c>
      <c r="G3560" s="3" t="str">
        <f>"Disney·Hyperion"</f>
        <v>Disney·Hyperion</v>
      </c>
      <c r="H3560" s="2" t="str">
        <f>"2015"</f>
        <v>2015</v>
      </c>
      <c r="I3560" s="3" t="str">
        <f>""</f>
        <v/>
      </c>
    </row>
    <row r="3561" spans="1:9" x14ac:dyDescent="0.3">
      <c r="A3561" s="2">
        <v>3560</v>
      </c>
      <c r="B3561" s="4" t="s">
        <v>49</v>
      </c>
      <c r="C3561" s="3" t="str">
        <f>"TFC000002358"</f>
        <v>TFC000002358</v>
      </c>
      <c r="D3561" s="3" t="str">
        <f>"F800-20-2642-(AR 4.8)"</f>
        <v>F800-20-2642-(AR 4.8)</v>
      </c>
      <c r="E3561" s="3" t="str">
        <f>"One came home"</f>
        <v>One came home</v>
      </c>
      <c r="F3561" s="3" t="str">
        <f>"Amy Timberlake"</f>
        <v>Amy Timberlake</v>
      </c>
      <c r="G3561" s="3" t="str">
        <f>"A Yearling book"</f>
        <v>A Yearling book</v>
      </c>
      <c r="H3561" s="2" t="str">
        <f>"2014"</f>
        <v>2014</v>
      </c>
      <c r="I3561" s="3" t="str">
        <f>""</f>
        <v/>
      </c>
    </row>
    <row r="3562" spans="1:9" x14ac:dyDescent="0.3">
      <c r="A3562" s="2">
        <v>3561</v>
      </c>
      <c r="B3562" s="4" t="s">
        <v>49</v>
      </c>
      <c r="C3562" s="3" t="str">
        <f>"TFC000002359"</f>
        <v>TFC000002359</v>
      </c>
      <c r="D3562" s="3" t="str">
        <f>"F800-20-2643-(AR 4.8)"</f>
        <v>F800-20-2643-(AR 4.8)</v>
      </c>
      <c r="E3562" s="3" t="str">
        <f>"Thea Stilton and the ghost of the shipwreck"</f>
        <v>Thea Stilton and the ghost of the shipwreck</v>
      </c>
      <c r="F3562" s="3" t="str">
        <f>"text by Thea Stilton ; illustrations by Maria Abagnale [et al.] ; translated by Julia Heim"</f>
        <v>text by Thea Stilton ; illustrations by Maria Abagnale [et al.] ; translated by Julia Heim</v>
      </c>
      <c r="G3562" s="3" t="str">
        <f>"Scholastic"</f>
        <v>Scholastic</v>
      </c>
      <c r="H3562" s="2" t="str">
        <f>"2010"</f>
        <v>2010</v>
      </c>
      <c r="I3562" s="3" t="str">
        <f>""</f>
        <v/>
      </c>
    </row>
    <row r="3563" spans="1:9" x14ac:dyDescent="0.3">
      <c r="A3563" s="2">
        <v>3562</v>
      </c>
      <c r="B3563" s="4" t="s">
        <v>49</v>
      </c>
      <c r="C3563" s="3" t="str">
        <f>"TFC000002360"</f>
        <v>TFC000002360</v>
      </c>
      <c r="D3563" s="3" t="str">
        <f>"F900-20-2651-(AR 4.8)"</f>
        <v>F900-20-2651-(AR 4.8)</v>
      </c>
      <c r="E3563" s="3" t="str">
        <f>"So you want to be president?"</f>
        <v>So you want to be president?</v>
      </c>
      <c r="F3563" s="3" t="str">
        <f>"by Judith St. George ; illustrated by David Small"</f>
        <v>by Judith St. George ; illustrated by David Small</v>
      </c>
      <c r="G3563" s="3" t="str">
        <f>"Philomel Books"</f>
        <v>Philomel Books</v>
      </c>
      <c r="H3563" s="2" t="str">
        <f>"2012"</f>
        <v>2012</v>
      </c>
      <c r="I3563" s="3" t="str">
        <f>""</f>
        <v/>
      </c>
    </row>
    <row r="3564" spans="1:9" x14ac:dyDescent="0.3">
      <c r="A3564" s="2">
        <v>3563</v>
      </c>
      <c r="B3564" s="4" t="s">
        <v>49</v>
      </c>
      <c r="C3564" s="3" t="str">
        <f>"TFC000002361"</f>
        <v>TFC000002361</v>
      </c>
      <c r="D3564" s="3" t="str">
        <f>"F900-20-2652-(AR 4.8)"</f>
        <v>F900-20-2652-(AR 4.8)</v>
      </c>
      <c r="E3564" s="3" t="str">
        <f>"Who was Paul Revere?"</f>
        <v>Who was Paul Revere?</v>
      </c>
      <c r="F3564" s="3" t="str">
        <f>"by Roberta Edwards ; illustrated by John O'Brien"</f>
        <v>by Roberta Edwards ; illustrated by John O'Brien</v>
      </c>
      <c r="G3564" s="3" t="str">
        <f>"Grosset &amp; Dunlap"</f>
        <v>Grosset &amp; Dunlap</v>
      </c>
      <c r="H3564" s="2" t="str">
        <f>"2011"</f>
        <v>2011</v>
      </c>
      <c r="I3564" s="3" t="str">
        <f>""</f>
        <v/>
      </c>
    </row>
    <row r="3565" spans="1:9" x14ac:dyDescent="0.3">
      <c r="A3565" s="2">
        <v>3564</v>
      </c>
      <c r="B3565" s="4" t="s">
        <v>49</v>
      </c>
      <c r="C3565" s="3" t="str">
        <f>"TFC000002363"</f>
        <v>TFC000002363</v>
      </c>
      <c r="D3565" s="3" t="str">
        <f>"F900-20-2654-(AR 4.8)"</f>
        <v>F900-20-2654-(AR 4.8)</v>
      </c>
      <c r="E3565" s="3" t="str">
        <f>"Who was Ulysses S. Grant?"</f>
        <v>Who was Ulysses S. Grant?</v>
      </c>
      <c r="F3565" s="3" t="str">
        <f>"by Megan Stine ; illustrated by Mark Edward Geyer"</f>
        <v>by Megan Stine ; illustrated by Mark Edward Geyer</v>
      </c>
      <c r="G3565" s="3" t="str">
        <f>"Penguin Workshop"</f>
        <v>Penguin Workshop</v>
      </c>
      <c r="H3565" s="2" t="str">
        <f>"2015"</f>
        <v>2015</v>
      </c>
      <c r="I3565" s="3" t="str">
        <f>""</f>
        <v/>
      </c>
    </row>
    <row r="3566" spans="1:9" x14ac:dyDescent="0.3">
      <c r="A3566" s="2">
        <v>3565</v>
      </c>
      <c r="B3566" s="4" t="s">
        <v>49</v>
      </c>
      <c r="C3566" s="3" t="str">
        <f>"TFC000002364"</f>
        <v>TFC000002364</v>
      </c>
      <c r="D3566" s="3" t="str">
        <f>"F900-20-2655-(AR 4.8)"</f>
        <v>F900-20-2655-(AR 4.8)</v>
      </c>
      <c r="E3566" s="3" t="str">
        <f>"Georgia O'Keeffe"</f>
        <v>Georgia O'Keeffe</v>
      </c>
      <c r="F3566" s="3" t="str">
        <f>"written and illustrated by Mike Venezia"</f>
        <v>written and illustrated by Mike Venezia</v>
      </c>
      <c r="G3566" s="3" t="str">
        <f>"Children's Press"</f>
        <v>Children's Press</v>
      </c>
      <c r="H3566" s="2" t="str">
        <f>"2014"</f>
        <v>2014</v>
      </c>
      <c r="I3566" s="3" t="str">
        <f>""</f>
        <v/>
      </c>
    </row>
    <row r="3567" spans="1:9" x14ac:dyDescent="0.3">
      <c r="A3567" s="2">
        <v>3566</v>
      </c>
      <c r="B3567" s="4" t="s">
        <v>49</v>
      </c>
      <c r="C3567" s="3" t="str">
        <f>"TFC000002365"</f>
        <v>TFC000002365</v>
      </c>
      <c r="D3567" s="3" t="str">
        <f>"F900-20-2656-(AR 4.8)"</f>
        <v>F900-20-2656-(AR 4.8)</v>
      </c>
      <c r="E3567" s="3" t="str">
        <f>"Who Was Laura Ingalls Wilder?"</f>
        <v>Who Was Laura Ingalls Wilder?</v>
      </c>
      <c r="F3567" s="3" t="str">
        <f>"by Patricia Brennan Demuth ; illustrated by Tim Foley"</f>
        <v>by Patricia Brennan Demuth ; illustrated by Tim Foley</v>
      </c>
      <c r="G3567" s="3" t="str">
        <f>"Penguin Workshop"</f>
        <v>Penguin Workshop</v>
      </c>
      <c r="H3567" s="2" t="str">
        <f>"2015"</f>
        <v>2015</v>
      </c>
      <c r="I3567" s="3" t="str">
        <f>""</f>
        <v/>
      </c>
    </row>
    <row r="3568" spans="1:9" x14ac:dyDescent="0.3">
      <c r="A3568" s="2">
        <v>3567</v>
      </c>
      <c r="B3568" s="4" t="s">
        <v>49</v>
      </c>
      <c r="C3568" s="3" t="str">
        <f>"TFC000002366"</f>
        <v>TFC000002366</v>
      </c>
      <c r="D3568" s="3" t="str">
        <f>"F900-20-2657-(AR 4.8)"</f>
        <v>F900-20-2657-(AR 4.8)</v>
      </c>
      <c r="E3568" s="3" t="str">
        <f>"Who was William Shakespeare?"</f>
        <v>Who was William Shakespeare?</v>
      </c>
      <c r="F3568" s="3" t="str">
        <f>"by Celeste Davidson Mannis ; illustrated by John O'Brein"</f>
        <v>by Celeste Davidson Mannis ; illustrated by John O'Brein</v>
      </c>
      <c r="G3568" s="3" t="str">
        <f>"Grosset &amp; Dunlap"</f>
        <v>Grosset &amp; Dunlap</v>
      </c>
      <c r="H3568" s="2" t="str">
        <f>"2006"</f>
        <v>2006</v>
      </c>
      <c r="I3568" s="3" t="str">
        <f>""</f>
        <v/>
      </c>
    </row>
    <row r="3569" spans="1:9" x14ac:dyDescent="0.3">
      <c r="A3569" s="2">
        <v>3568</v>
      </c>
      <c r="B3569" s="4" t="s">
        <v>49</v>
      </c>
      <c r="C3569" s="3" t="str">
        <f>"TFC000002908"</f>
        <v>TFC000002908</v>
      </c>
      <c r="D3569" s="3" t="str">
        <f>"F800-20-2644-(AR 4.8)"</f>
        <v>F800-20-2644-(AR 4.8)</v>
      </c>
      <c r="E3569" s="3" t="str">
        <f>"Highway cats"</f>
        <v>Highway cats</v>
      </c>
      <c r="F3569" s="3" t="str">
        <f>"Janet Taylor Lisle ; illustrated by David Frankland"</f>
        <v>Janet Taylor Lisle ; illustrated by David Frankland</v>
      </c>
      <c r="G3569" s="3" t="str">
        <f>"Puffin Books"</f>
        <v>Puffin Books</v>
      </c>
      <c r="H3569" s="2" t="str">
        <f>"2009"</f>
        <v>2009</v>
      </c>
      <c r="I3569" s="3" t="str">
        <f>""</f>
        <v/>
      </c>
    </row>
    <row r="3570" spans="1:9" x14ac:dyDescent="0.3">
      <c r="A3570" s="2">
        <v>3569</v>
      </c>
      <c r="B3570" s="4" t="s">
        <v>49</v>
      </c>
      <c r="C3570" s="3" t="str">
        <f>"TFC000002909"</f>
        <v>TFC000002909</v>
      </c>
      <c r="D3570" s="3" t="str">
        <f>"F900-20-2658-(AR 4.8)"</f>
        <v>F900-20-2658-(AR 4.8)</v>
      </c>
      <c r="E3570" s="3" t="str">
        <f>"Nelson Mandela"</f>
        <v>Nelson Mandela</v>
      </c>
      <c r="F3570" s="3" t="str">
        <f>"words and paintings by Kadir Nelson"</f>
        <v>words and paintings by Kadir Nelson</v>
      </c>
      <c r="G3570" s="3" t="str">
        <f>"Katherine Tegen Books"</f>
        <v>Katherine Tegen Books</v>
      </c>
      <c r="H3570" s="2" t="str">
        <f>"2013"</f>
        <v>2013</v>
      </c>
      <c r="I3570" s="3" t="str">
        <f>""</f>
        <v/>
      </c>
    </row>
    <row r="3571" spans="1:9" x14ac:dyDescent="0.3">
      <c r="A3571" s="2">
        <v>3570</v>
      </c>
      <c r="B3571" s="4" t="s">
        <v>49</v>
      </c>
      <c r="C3571" s="3" t="str">
        <f>"TFC000002976"</f>
        <v>TFC000002976</v>
      </c>
      <c r="D3571" s="3" t="str">
        <f>"F800-20-2645-(AR 4.8)"</f>
        <v>F800-20-2645-(AR 4.8)</v>
      </c>
      <c r="E3571" s="3" t="str">
        <f>"(The)seven Chinese brothers"</f>
        <v>(The)seven Chinese brothers</v>
      </c>
      <c r="F3571" s="3" t="str">
        <f>"by Margaret Mahy ; illustrated by Jean Tseng ; Mou-Sien Tseng"</f>
        <v>by Margaret Mahy ; illustrated by Jean Tseng ; Mou-Sien Tseng</v>
      </c>
      <c r="G3571" s="3" t="str">
        <f>"Scholastic"</f>
        <v>Scholastic</v>
      </c>
      <c r="H3571" s="2" t="str">
        <f>"1990"</f>
        <v>1990</v>
      </c>
      <c r="I3571" s="3" t="str">
        <f>""</f>
        <v/>
      </c>
    </row>
    <row r="3572" spans="1:9" x14ac:dyDescent="0.3">
      <c r="A3572" s="2">
        <v>3571</v>
      </c>
      <c r="B3572" s="4" t="s">
        <v>49</v>
      </c>
      <c r="C3572" s="3" t="str">
        <f>"TFC000003049"</f>
        <v>TFC000003049</v>
      </c>
      <c r="D3572" s="3" t="str">
        <f>"F800-20-2646-(AR 4.8)"</f>
        <v>F800-20-2646-(AR 4.8)</v>
      </c>
      <c r="E3572" s="3" t="str">
        <f>"Wonder"</f>
        <v>Wonder</v>
      </c>
      <c r="F3572" s="3" t="str">
        <f>"by R.J. Palacio"</f>
        <v>by R.J. Palacio</v>
      </c>
      <c r="G3572" s="3" t="str">
        <f>"Alfred A. Knopf"</f>
        <v>Alfred A. Knopf</v>
      </c>
      <c r="H3572" s="2" t="str">
        <f>"2012"</f>
        <v>2012</v>
      </c>
      <c r="I3572" s="3" t="str">
        <f>""</f>
        <v/>
      </c>
    </row>
    <row r="3573" spans="1:9" x14ac:dyDescent="0.3">
      <c r="A3573" s="2">
        <v>3572</v>
      </c>
      <c r="B3573" s="4" t="s">
        <v>49</v>
      </c>
      <c r="C3573" s="3" t="str">
        <f>"TFC000003067"</f>
        <v>TFC000003067</v>
      </c>
      <c r="D3573" s="3" t="str">
        <f>"F800-20-2648-(AR 4.8)"</f>
        <v>F800-20-2648-(AR 4.8)</v>
      </c>
      <c r="E3573" s="3" t="str">
        <f>"Mice take the stage."</f>
        <v>Mice take the stage.</v>
      </c>
      <c r="F3573" s="3" t="str">
        <f>"Thea Stilton ; illustrations by Barbara Pellizzari, Alessandro Muscillo ; translated by Julia Heim"</f>
        <v>Thea Stilton ; illustrations by Barbara Pellizzari, Alessandro Muscillo ; translated by Julia Heim</v>
      </c>
      <c r="G3573" s="3" t="str">
        <f>"Scholastic"</f>
        <v>Scholastic</v>
      </c>
      <c r="H3573" s="2" t="str">
        <f>"2015"</f>
        <v>2015</v>
      </c>
      <c r="I3573" s="3" t="str">
        <f>""</f>
        <v/>
      </c>
    </row>
    <row r="3574" spans="1:9" x14ac:dyDescent="0.3">
      <c r="A3574" s="2">
        <v>3573</v>
      </c>
      <c r="B3574" s="4" t="s">
        <v>49</v>
      </c>
      <c r="C3574" s="3" t="str">
        <f>"TFC000003086"</f>
        <v>TFC000003086</v>
      </c>
      <c r="D3574" s="3" t="str">
        <f>"F800-20-2649-(AR 4.8)"</f>
        <v>F800-20-2649-(AR 4.8)</v>
      </c>
      <c r="E3574" s="3" t="str">
        <f>"Thea Stilton and the riddle of the ruins"</f>
        <v>Thea Stilton and the riddle of the ruins</v>
      </c>
      <c r="F3574" s="3" t="str">
        <f>"text by Thea Stilton ; illustrations by Barbara Pellizzari...[et al.] ; translated by Andrea Shaffer"</f>
        <v>text by Thea Stilton ; illustrations by Barbara Pellizzari...[et al.] ; translated by Andrea Shaffer</v>
      </c>
      <c r="G3574" s="3" t="str">
        <f>"Scholastic Paperbacks"</f>
        <v>Scholastic Paperbacks</v>
      </c>
      <c r="H3574" s="2" t="str">
        <f>"2020"</f>
        <v>2020</v>
      </c>
      <c r="I3574" s="3" t="str">
        <f>""</f>
        <v/>
      </c>
    </row>
    <row r="3575" spans="1:9" x14ac:dyDescent="0.3">
      <c r="A3575" s="2">
        <v>3574</v>
      </c>
      <c r="B3575" s="4" t="s">
        <v>49</v>
      </c>
      <c r="C3575" s="3" t="str">
        <f>"TFC000003093"</f>
        <v>TFC000003093</v>
      </c>
      <c r="D3575" s="3" t="str">
        <f>"F800-20-2650-(AR 4.8)"</f>
        <v>F800-20-2650-(AR 4.8)</v>
      </c>
      <c r="E3575" s="3" t="str">
        <f>"Thea Stilton and the Black Forest burglary"</f>
        <v>Thea Stilton and the Black Forest burglary</v>
      </c>
      <c r="F3575" s="3" t="str">
        <f>"text by Thea Stilton ; illustrations by Barbara Pellizzari, Flavio Ferron ; translated by Anna Pizzelli"</f>
        <v>text by Thea Stilton ; illustrations by Barbara Pellizzari, Flavio Ferron ; translated by Anna Pizzelli</v>
      </c>
      <c r="G3575" s="3" t="str">
        <f>"Scholastic Paperbacks"</f>
        <v>Scholastic Paperbacks</v>
      </c>
      <c r="H3575" s="2" t="str">
        <f>"2019"</f>
        <v>2019</v>
      </c>
      <c r="I3575" s="3" t="str">
        <f>""</f>
        <v/>
      </c>
    </row>
    <row r="3576" spans="1:9" x14ac:dyDescent="0.3">
      <c r="A3576" s="2">
        <v>3575</v>
      </c>
      <c r="B3576" s="4" t="s">
        <v>49</v>
      </c>
      <c r="C3576" s="3" t="str">
        <f>"TFC000003406"</f>
        <v>TFC000003406</v>
      </c>
      <c r="D3576" s="3" t="str">
        <f>"F800-21-0833-(AR 4.8)"</f>
        <v>F800-21-0833-(AR 4.8)</v>
      </c>
      <c r="E3576" s="3" t="str">
        <f>"(The)girl who drank the moon"</f>
        <v>(The)girl who drank the moon</v>
      </c>
      <c r="F3576" s="3" t="str">
        <f>"by Kelly Barnhill"</f>
        <v>by Kelly Barnhill</v>
      </c>
      <c r="G3576" s="3" t="str">
        <f>"Algonquin Young Readers"</f>
        <v>Algonquin Young Readers</v>
      </c>
      <c r="H3576" s="2" t="str">
        <f>"2016"</f>
        <v>2016</v>
      </c>
      <c r="I3576" s="3" t="str">
        <f>""</f>
        <v/>
      </c>
    </row>
    <row r="3577" spans="1:9" x14ac:dyDescent="0.3">
      <c r="A3577" s="2">
        <v>3576</v>
      </c>
      <c r="B3577" s="4" t="s">
        <v>49</v>
      </c>
      <c r="C3577" s="3" t="str">
        <f>"TFC000003455"</f>
        <v>TFC000003455</v>
      </c>
      <c r="D3577" s="3" t="str">
        <f>"F400-21-0830-(AR 4.8)"</f>
        <v>F400-21-0830-(AR 4.8)</v>
      </c>
      <c r="E3577" s="3" t="str">
        <f>"(The)rainforest"</f>
        <v>(The)rainforest</v>
      </c>
      <c r="F3577" s="3" t="str">
        <f>"based on The magic school bus books written by Joanna Cole ; illustrated by Bruce Degen ; text by Tom Jackson"</f>
        <v>based on The magic school bus books written by Joanna Cole ; illustrated by Bruce Degen ; text by Tom Jackson</v>
      </c>
      <c r="G3577" s="3" t="str">
        <f>"Scholastic Inc"</f>
        <v>Scholastic Inc</v>
      </c>
      <c r="H3577" s="2" t="str">
        <f>"2015"</f>
        <v>2015</v>
      </c>
      <c r="I3577" s="3" t="str">
        <f>""</f>
        <v/>
      </c>
    </row>
    <row r="3578" spans="1:9" x14ac:dyDescent="0.3">
      <c r="A3578" s="2">
        <v>3577</v>
      </c>
      <c r="B3578" s="4" t="s">
        <v>49</v>
      </c>
      <c r="C3578" s="3" t="str">
        <f>"TFC000003502"</f>
        <v>TFC000003502</v>
      </c>
      <c r="D3578" s="3" t="str">
        <f>"F400-21-0831-(AR 4.8)"</f>
        <v>F400-21-0831-(AR 4.8)</v>
      </c>
      <c r="E3578" s="3" t="str">
        <f>"What If you had animal feet?"</f>
        <v>What If you had animal feet?</v>
      </c>
      <c r="F3578" s="3" t="str">
        <f>"by Sandra Markle, illustrated by Howard McWilliam"</f>
        <v>by Sandra Markle, illustrated by Howard McWilliam</v>
      </c>
      <c r="G3578" s="3" t="str">
        <f>"Scholastic Paperbacks"</f>
        <v>Scholastic Paperbacks</v>
      </c>
      <c r="H3578" s="2" t="str">
        <f>"2013"</f>
        <v>2013</v>
      </c>
      <c r="I3578" s="3" t="str">
        <f>""</f>
        <v/>
      </c>
    </row>
    <row r="3579" spans="1:9" x14ac:dyDescent="0.3">
      <c r="A3579" s="2">
        <v>3578</v>
      </c>
      <c r="B3579" s="4" t="s">
        <v>49</v>
      </c>
      <c r="C3579" s="3" t="str">
        <f>"TFC000003503"</f>
        <v>TFC000003503</v>
      </c>
      <c r="D3579" s="3" t="str">
        <f>"F400-21-0832-(AR 4.8)"</f>
        <v>F400-21-0832-(AR 4.8)</v>
      </c>
      <c r="E3579" s="3" t="str">
        <f>"What If you had an animal nose!?"</f>
        <v>What If you had an animal nose!?</v>
      </c>
      <c r="F3579" s="3" t="str">
        <f>"by Sandra Markle, illustrated by Howard Mewilliam"</f>
        <v>by Sandra Markle, illustrated by Howard Mewilliam</v>
      </c>
      <c r="G3579" s="3" t="str">
        <f>"Scholastic"</f>
        <v>Scholastic</v>
      </c>
      <c r="H3579" s="2" t="str">
        <f>"2017"</f>
        <v>2017</v>
      </c>
      <c r="I3579" s="3" t="str">
        <f>""</f>
        <v/>
      </c>
    </row>
    <row r="3580" spans="1:9" x14ac:dyDescent="0.3">
      <c r="A3580" s="2">
        <v>3579</v>
      </c>
      <c r="B3580" s="4" t="s">
        <v>49</v>
      </c>
      <c r="C3580" s="3" t="str">
        <f>"TFC000003558"</f>
        <v>TFC000003558</v>
      </c>
      <c r="D3580" s="3" t="str">
        <f>"F900-21-0836-(AR 4.8)"</f>
        <v>F900-21-0836-(AR 4.8)</v>
      </c>
      <c r="E3580" s="3" t="str">
        <f>"Beautiful shades of brown : the art of Laura Wheeler Waring"</f>
        <v>Beautiful shades of brown : the art of Laura Wheeler Waring</v>
      </c>
      <c r="F3580" s="3" t="str">
        <f>"by Nancy Churnin ; illustrated by Felicia Marshall"</f>
        <v>by Nancy Churnin ; illustrated by Felicia Marshall</v>
      </c>
      <c r="G3580" s="3" t="str">
        <f>"Creston Books"</f>
        <v>Creston Books</v>
      </c>
      <c r="H3580" s="2" t="str">
        <f>"2020"</f>
        <v>2020</v>
      </c>
      <c r="I3580" s="3" t="str">
        <f>""</f>
        <v/>
      </c>
    </row>
    <row r="3581" spans="1:9" x14ac:dyDescent="0.3">
      <c r="A3581" s="2">
        <v>3580</v>
      </c>
      <c r="B3581" s="4" t="s">
        <v>49</v>
      </c>
      <c r="C3581" s="3" t="str">
        <f>"TFC000004087"</f>
        <v>TFC000004087</v>
      </c>
      <c r="D3581" s="3" t="str">
        <f>"F800-21-0834-(AR 4.8)"</f>
        <v>F800-21-0834-(AR 4.8)</v>
      </c>
      <c r="E3581" s="3" t="str">
        <f>"Hazel Bly and the deep blue sea"</f>
        <v>Hazel Bly and the deep blue sea</v>
      </c>
      <c r="F3581" s="3" t="str">
        <f>"Ashley Herring Blake"</f>
        <v>Ashley Herring Blake</v>
      </c>
      <c r="G3581" s="3" t="str">
        <f>"Little, Brown and Company"</f>
        <v>Little, Brown and Company</v>
      </c>
      <c r="H3581" s="2" t="str">
        <f>"2021"</f>
        <v>2021</v>
      </c>
      <c r="I3581" s="3" t="str">
        <f>""</f>
        <v/>
      </c>
    </row>
    <row r="3582" spans="1:9" x14ac:dyDescent="0.3">
      <c r="A3582" s="2">
        <v>3581</v>
      </c>
      <c r="B3582" s="4" t="s">
        <v>49</v>
      </c>
      <c r="C3582" s="3" t="str">
        <f>"TFC000004088"</f>
        <v>TFC000004088</v>
      </c>
      <c r="D3582" s="3" t="str">
        <f>"F800-21-0835-(AR 4.8)"</f>
        <v>F800-21-0835-(AR 4.8)</v>
      </c>
      <c r="E3582" s="3" t="str">
        <f>"(A)dog-friendly town"</f>
        <v>(A)dog-friendly town</v>
      </c>
      <c r="F3582" s="3" t="str">
        <f>"by Josephine Cameron"</f>
        <v>by Josephine Cameron</v>
      </c>
      <c r="G3582" s="3" t="str">
        <f>"Farrar Straus Giroux"</f>
        <v>Farrar Straus Giroux</v>
      </c>
      <c r="H3582" s="2" t="str">
        <f>"2020"</f>
        <v>2020</v>
      </c>
      <c r="I3582" s="3" t="str">
        <f>""</f>
        <v/>
      </c>
    </row>
    <row r="3583" spans="1:9" x14ac:dyDescent="0.3">
      <c r="A3583" s="2">
        <v>3582</v>
      </c>
      <c r="B3583" s="4" t="s">
        <v>49</v>
      </c>
      <c r="C3583" s="3" t="str">
        <f>"TFC000004795"</f>
        <v>TFC000004795</v>
      </c>
      <c r="D3583" s="3" t="str">
        <f>"F800-22-0533-(AR 4.8)"</f>
        <v>F800-22-0533-(AR 4.8)</v>
      </c>
      <c r="E3583" s="3" t="str">
        <f>"(The)BFG"</f>
        <v>(The)BFG</v>
      </c>
      <c r="F3583" s="3" t="str">
        <f>"by Roald Dahl, illustrated by Quentin Blake"</f>
        <v>by Roald Dahl, illustrated by Quentin Blake</v>
      </c>
      <c r="G3583" s="3" t="str">
        <f>"Penguin Books"</f>
        <v>Penguin Books</v>
      </c>
      <c r="H3583" s="2" t="str">
        <f>"2014"</f>
        <v>2014</v>
      </c>
      <c r="I3583" s="3" t="str">
        <f>""</f>
        <v/>
      </c>
    </row>
    <row r="3584" spans="1:9" x14ac:dyDescent="0.3">
      <c r="A3584" s="2">
        <v>3583</v>
      </c>
      <c r="B3584" s="4" t="s">
        <v>49</v>
      </c>
      <c r="C3584" s="3" t="str">
        <f>"TFC000004888"</f>
        <v>TFC000004888</v>
      </c>
      <c r="D3584" s="3" t="str">
        <f>"F800-22-0618-(AR 4.8)"</f>
        <v>F800-22-0618-(AR 4.8)</v>
      </c>
      <c r="E3584" s="3" t="str">
        <f>"Love is a revolution"</f>
        <v>Love is a revolution</v>
      </c>
      <c r="F3584" s="3" t="str">
        <f>"by Renee Watson"</f>
        <v>by Renee Watson</v>
      </c>
      <c r="G3584" s="3" t="str">
        <f>"Bloomsbury YA"</f>
        <v>Bloomsbury YA</v>
      </c>
      <c r="H3584" s="2" t="str">
        <f>"2021"</f>
        <v>2021</v>
      </c>
      <c r="I3584" s="3" t="str">
        <f>""</f>
        <v/>
      </c>
    </row>
    <row r="3585" spans="1:9" x14ac:dyDescent="0.3">
      <c r="A3585" s="2">
        <v>3584</v>
      </c>
      <c r="B3585" s="4" t="s">
        <v>49</v>
      </c>
      <c r="C3585" s="3" t="str">
        <f>"TFC000004896"</f>
        <v>TFC000004896</v>
      </c>
      <c r="D3585" s="3" t="str">
        <f>"F800-22-0626-(AR 4.8)"</f>
        <v>F800-22-0626-(AR 4.8)</v>
      </c>
      <c r="E3585" s="3" t="str">
        <f>"Mr. Lemoncello and the titanium ticket"</f>
        <v>Mr. Lemoncello and the titanium ticket</v>
      </c>
      <c r="F3585" s="3" t="str">
        <f>"by Chris Grabenstein"</f>
        <v>by Chris Grabenstein</v>
      </c>
      <c r="G3585" s="3" t="str">
        <f>"Random House"</f>
        <v>Random House</v>
      </c>
      <c r="H3585" s="2" t="str">
        <f>"2020"</f>
        <v>2020</v>
      </c>
      <c r="I3585" s="3" t="str">
        <f>""</f>
        <v/>
      </c>
    </row>
    <row r="3586" spans="1:9" x14ac:dyDescent="0.3">
      <c r="A3586" s="2">
        <v>3585</v>
      </c>
      <c r="B3586" s="4" t="s">
        <v>49</v>
      </c>
      <c r="C3586" s="3" t="str">
        <f>"TFC000004793"</f>
        <v>TFC000004793</v>
      </c>
      <c r="D3586" s="3" t="str">
        <f>"F800-22-0531-(AR 4.8)"</f>
        <v>F800-22-0531-(AR 4.8)</v>
      </c>
      <c r="E3586" s="3" t="str">
        <f>"James and the giant peach"</f>
        <v>James and the giant peach</v>
      </c>
      <c r="F3586" s="3" t="str">
        <f>"by Roald Dahl, illustrated by Quentin Blake"</f>
        <v>by Roald Dahl, illustrated by Quentin Blake</v>
      </c>
      <c r="G3586" s="3" t="str">
        <f>"Penguin Books"</f>
        <v>Penguin Books</v>
      </c>
      <c r="H3586" s="2" t="str">
        <f>"2014"</f>
        <v>2014</v>
      </c>
      <c r="I3586" s="3" t="str">
        <f>""</f>
        <v/>
      </c>
    </row>
    <row r="3587" spans="1:9" x14ac:dyDescent="0.3">
      <c r="A3587" s="2">
        <v>3586</v>
      </c>
      <c r="B3587" s="4" t="s">
        <v>49</v>
      </c>
      <c r="C3587" s="3" t="str">
        <f>"TFC000004792"</f>
        <v>TFC000004792</v>
      </c>
      <c r="D3587" s="3" t="str">
        <f>"F800-22-0530-(AR 4.8)"</f>
        <v>F800-22-0530-(AR 4.8)</v>
      </c>
      <c r="E3587" s="3" t="str">
        <f>"Charlie and the chocolate factory"</f>
        <v>Charlie and the chocolate factory</v>
      </c>
      <c r="F3587" s="3" t="str">
        <f>"by Roald Dahl, illustrated by Quentin Blake"</f>
        <v>by Roald Dahl, illustrated by Quentin Blake</v>
      </c>
      <c r="G3587" s="3" t="str">
        <f>"Penguin Books"</f>
        <v>Penguin Books</v>
      </c>
      <c r="H3587" s="2" t="str">
        <f>"2014"</f>
        <v>2014</v>
      </c>
      <c r="I3587" s="3" t="str">
        <f>""</f>
        <v/>
      </c>
    </row>
    <row r="3588" spans="1:9" x14ac:dyDescent="0.3">
      <c r="A3588" s="2">
        <v>3587</v>
      </c>
      <c r="B3588" s="4" t="s">
        <v>49</v>
      </c>
      <c r="C3588" s="3" t="str">
        <f>"TFC000004563"</f>
        <v>TFC000004563</v>
      </c>
      <c r="D3588" s="3" t="str">
        <f>"F300-22-0372-(AR4.8)"</f>
        <v>F300-22-0372-(AR4.8)</v>
      </c>
      <c r="E3588" s="3" t="str">
        <f>"What is Yellow Peril?"</f>
        <v>What is Yellow Peril?</v>
      </c>
      <c r="F3588" s="3" t="str">
        <f>"by Virginia Loh-Hagan"</f>
        <v>by Virginia Loh-Hagan</v>
      </c>
      <c r="G3588" s="3" t="str">
        <f>"Cherry Lake Publishing"</f>
        <v>Cherry Lake Publishing</v>
      </c>
      <c r="H3588" s="2" t="str">
        <f>"2022"</f>
        <v>2022</v>
      </c>
      <c r="I3588" s="3" t="str">
        <f>""</f>
        <v/>
      </c>
    </row>
    <row r="3589" spans="1:9" x14ac:dyDescent="0.3">
      <c r="A3589" s="2">
        <v>3588</v>
      </c>
      <c r="B3589" s="4" t="s">
        <v>49</v>
      </c>
      <c r="C3589" s="3" t="str">
        <f>"TFC000004511"</f>
        <v>TFC000004511</v>
      </c>
      <c r="D3589" s="3" t="str">
        <f>"F900-22-0320-(AR4.8)"</f>
        <v>F900-22-0320-(AR4.8)</v>
      </c>
      <c r="E3589" s="3" t="str">
        <f>"(The) people's painter : how Ben Shahn fought for justice with art"</f>
        <v>(The) people's painter : how Ben Shahn fought for justice with art</v>
      </c>
      <c r="F3589" s="3" t="str">
        <f>"by Cynthia Levinson, pictures by Evan Turk"</f>
        <v>by Cynthia Levinson, pictures by Evan Turk</v>
      </c>
      <c r="G3589" s="3" t="str">
        <f>"Abrams Books for Young Readers"</f>
        <v>Abrams Books for Young Readers</v>
      </c>
      <c r="H3589" s="2" t="str">
        <f>"2021"</f>
        <v>2021</v>
      </c>
      <c r="I3589" s="3" t="str">
        <f>""</f>
        <v/>
      </c>
    </row>
    <row r="3590" spans="1:9" x14ac:dyDescent="0.3">
      <c r="A3590" s="2">
        <v>3589</v>
      </c>
      <c r="B3590" s="4" t="s">
        <v>49</v>
      </c>
      <c r="C3590" s="3" t="str">
        <f>"TFC000004560"</f>
        <v>TFC000004560</v>
      </c>
      <c r="D3590" s="3" t="str">
        <f>"F800-22-0369-(AR4.8)"</f>
        <v>F800-22-0369-(AR4.8)</v>
      </c>
      <c r="E3590" s="3" t="str">
        <f>"Ahmed Aziz's epic year"</f>
        <v>Ahmed Aziz's epic year</v>
      </c>
      <c r="F3590" s="3" t="str">
        <f>"by Nina Hamza"</f>
        <v>by Nina Hamza</v>
      </c>
      <c r="G3590" s="3" t="str">
        <f>"Quill Tree Books"</f>
        <v>Quill Tree Books</v>
      </c>
      <c r="H3590" s="2" t="str">
        <f>"2021"</f>
        <v>2021</v>
      </c>
      <c r="I3590" s="3" t="str">
        <f>""</f>
        <v/>
      </c>
    </row>
    <row r="3591" spans="1:9" x14ac:dyDescent="0.3">
      <c r="A3591" s="2">
        <v>3590</v>
      </c>
      <c r="B3591" s="4" t="s">
        <v>49</v>
      </c>
      <c r="C3591" s="3" t="str">
        <f>"TFC000004561"</f>
        <v>TFC000004561</v>
      </c>
      <c r="D3591" s="3" t="str">
        <f>"F800-22-0370-(AR4.8)"</f>
        <v>F800-22-0370-(AR4.8)</v>
      </c>
      <c r="E3591" s="3" t="str">
        <f>"Infestation"</f>
        <v>Infestation</v>
      </c>
      <c r="F3591" s="3" t="str">
        <f>"by Heidi Lang &amp; Kati Bartkowski"</f>
        <v>by Heidi Lang &amp; Kati Bartkowski</v>
      </c>
      <c r="G3591" s="3" t="str">
        <f>"McElderry Books"</f>
        <v>McElderry Books</v>
      </c>
      <c r="H3591" s="2" t="str">
        <f>"2021"</f>
        <v>2021</v>
      </c>
      <c r="I3591" s="3" t="str">
        <f>""</f>
        <v/>
      </c>
    </row>
    <row r="3592" spans="1:9" x14ac:dyDescent="0.3">
      <c r="A3592" s="2">
        <v>3591</v>
      </c>
      <c r="B3592" s="4" t="s">
        <v>49</v>
      </c>
      <c r="C3592" s="3" t="str">
        <f>"TFC000004562"</f>
        <v>TFC000004562</v>
      </c>
      <c r="D3592" s="3" t="str">
        <f>"F300-22-0371-(AR4.8)"</f>
        <v>F300-22-0371-(AR4.8)</v>
      </c>
      <c r="E3592" s="3" t="str">
        <f>"What is the Forever Foreigner Stereotype?"</f>
        <v>What is the Forever Foreigner Stereotype?</v>
      </c>
      <c r="F3592" s="3" t="str">
        <f>"by Virginia Loh-Hagan"</f>
        <v>by Virginia Loh-Hagan</v>
      </c>
      <c r="G3592" s="3" t="str">
        <f>"Cherry Lake Publishing"</f>
        <v>Cherry Lake Publishing</v>
      </c>
      <c r="H3592" s="2" t="str">
        <f>"2022"</f>
        <v>2022</v>
      </c>
      <c r="I3592" s="3" t="str">
        <f>""</f>
        <v/>
      </c>
    </row>
    <row r="3593" spans="1:9" x14ac:dyDescent="0.3">
      <c r="A3593" s="2">
        <v>3592</v>
      </c>
      <c r="B3593" s="4" t="s">
        <v>49</v>
      </c>
      <c r="C3593" s="3" t="str">
        <f>"TFC000002346"</f>
        <v>TFC000002346</v>
      </c>
      <c r="D3593" s="3" t="str">
        <f>"F800-20-2630-1(AR 4.8)"</f>
        <v>F800-20-2630-1(AR 4.8)</v>
      </c>
      <c r="E3593" s="3" t="str">
        <f>"Ramona and her mother"</f>
        <v>Ramona and her mother</v>
      </c>
      <c r="F3593" s="3" t="str">
        <f>"Beverly Cleary ; illustrated by Jacqueline Rogers"</f>
        <v>Beverly Cleary ; illustrated by Jacqueline Rogers</v>
      </c>
      <c r="G3593" s="3" t="str">
        <f>"Harper"</f>
        <v>Harper</v>
      </c>
      <c r="H3593" s="2" t="str">
        <f>"2013"</f>
        <v>2013</v>
      </c>
      <c r="I3593" s="3" t="str">
        <f>""</f>
        <v/>
      </c>
    </row>
    <row r="3594" spans="1:9" x14ac:dyDescent="0.3">
      <c r="A3594" s="2">
        <v>3593</v>
      </c>
      <c r="B3594" s="4">
        <v>4.8</v>
      </c>
      <c r="C3594" s="3" t="str">
        <f>"TFC000002347"</f>
        <v>TFC000002347</v>
      </c>
      <c r="D3594" s="3" t="str">
        <f>"F800-20-2631-2(AR 4.8)"</f>
        <v>F800-20-2631-2(AR 4.8)</v>
      </c>
      <c r="E3594" s="3" t="str">
        <f>"Ramona forever"</f>
        <v>Ramona forever</v>
      </c>
      <c r="F3594" s="3" t="str">
        <f>"Beverly Cleary ; illustrated by Jacqueline Rogers"</f>
        <v>Beverly Cleary ; illustrated by Jacqueline Rogers</v>
      </c>
      <c r="G3594" s="3" t="str">
        <f>"Harper"</f>
        <v>Harper</v>
      </c>
      <c r="H3594" s="2" t="str">
        <f>"2013"</f>
        <v>2013</v>
      </c>
      <c r="I3594" s="3" t="str">
        <f>""</f>
        <v/>
      </c>
    </row>
    <row r="3595" spans="1:9" x14ac:dyDescent="0.3">
      <c r="A3595" s="2">
        <v>3594</v>
      </c>
      <c r="B3595" s="4">
        <v>4.8</v>
      </c>
      <c r="C3595" s="3" t="str">
        <f>"TFC000002348"</f>
        <v>TFC000002348</v>
      </c>
      <c r="D3595" s="3" t="str">
        <f>"F800-20-2632-3(AR 4.8)"</f>
        <v>F800-20-2632-3(AR 4.8)</v>
      </c>
      <c r="E3595" s="3" t="str">
        <f>"Ramona's world"</f>
        <v>Ramona's world</v>
      </c>
      <c r="F3595" s="3" t="str">
        <f>"Beverly Cleary ; illustrated by Jacqueline Rogers"</f>
        <v>Beverly Cleary ; illustrated by Jacqueline Rogers</v>
      </c>
      <c r="G3595" s="3" t="str">
        <f>"Harper"</f>
        <v>Harper</v>
      </c>
      <c r="H3595" s="2" t="str">
        <f>"2013"</f>
        <v>2013</v>
      </c>
      <c r="I3595" s="3" t="str">
        <f>""</f>
        <v/>
      </c>
    </row>
    <row r="3596" spans="1:9" x14ac:dyDescent="0.3">
      <c r="A3596" s="2">
        <v>3595</v>
      </c>
      <c r="B3596" s="4" t="s">
        <v>50</v>
      </c>
      <c r="C3596" s="3" t="str">
        <f>"TFC000003091"</f>
        <v>TFC000003091</v>
      </c>
      <c r="D3596" s="3" t="str">
        <f>"F800-20-2689-(AR 4.9)"</f>
        <v>F800-20-2689-(AR 4.9)</v>
      </c>
      <c r="E3596" s="3" t="str">
        <f>"(The)treasure seekers"</f>
        <v>(The)treasure seekers</v>
      </c>
      <c r="F3596" s="3" t="str">
        <f>"text by Thea Stilton ; illustrations by Giuseppe Facciotto...[et al.] ; translated by Julia Heim"</f>
        <v>text by Thea Stilton ; illustrations by Giuseppe Facciotto...[et al.] ; translated by Julia Heim</v>
      </c>
      <c r="G3596" s="3" t="str">
        <f>"Scholastic"</f>
        <v>Scholastic</v>
      </c>
      <c r="H3596" s="2" t="str">
        <f>"2019"</f>
        <v>2019</v>
      </c>
      <c r="I3596" s="3" t="str">
        <f>""</f>
        <v/>
      </c>
    </row>
    <row r="3597" spans="1:9" x14ac:dyDescent="0.3">
      <c r="A3597" s="2">
        <v>3596</v>
      </c>
      <c r="B3597" s="4" t="s">
        <v>50</v>
      </c>
      <c r="C3597" s="3" t="str">
        <f>"TFC000002367"</f>
        <v>TFC000002367</v>
      </c>
      <c r="D3597" s="3" t="str">
        <f>"F400-20-2660-(AR 4.9)"</f>
        <v>F400-20-2660-(AR 4.9)</v>
      </c>
      <c r="E3597" s="3" t="str">
        <f>"Tiger math : learning to graph from a baby tiger"</f>
        <v>Tiger math : learning to graph from a baby tiger</v>
      </c>
      <c r="F3597" s="3" t="str">
        <f>"by Ann Whitehead Nagda, Cindy Bickel"</f>
        <v>by Ann Whitehead Nagda, Cindy Bickel</v>
      </c>
      <c r="G3597" s="3" t="str">
        <f>"Square Fish"</f>
        <v>Square Fish</v>
      </c>
      <c r="H3597" s="2" t="str">
        <f>"2012"</f>
        <v>2012</v>
      </c>
      <c r="I3597" s="3" t="str">
        <f>""</f>
        <v/>
      </c>
    </row>
    <row r="3598" spans="1:9" x14ac:dyDescent="0.3">
      <c r="A3598" s="2">
        <v>3597</v>
      </c>
      <c r="B3598" s="4" t="s">
        <v>50</v>
      </c>
      <c r="C3598" s="3" t="str">
        <f>"TFC000002368"</f>
        <v>TFC000002368</v>
      </c>
      <c r="D3598" s="3" t="str">
        <f>"F400-20-2661-(AR 4.9)"</f>
        <v>F400-20-2661-(AR 4.9)</v>
      </c>
      <c r="E3598" s="3" t="str">
        <f>"Little kids first big book of space"</f>
        <v>Little kids first big book of space</v>
      </c>
      <c r="F3598" s="3" t="str">
        <f>"by Catherine D. Hughes ; illustrated by David A. Aguilar"</f>
        <v>by Catherine D. Hughes ; illustrated by David A. Aguilar</v>
      </c>
      <c r="G3598" s="3" t="str">
        <f>"National Geographic Children's Books"</f>
        <v>National Geographic Children's Books</v>
      </c>
      <c r="H3598" s="2" t="str">
        <f>"2012"</f>
        <v>2012</v>
      </c>
      <c r="I3598" s="3" t="str">
        <f>""</f>
        <v/>
      </c>
    </row>
    <row r="3599" spans="1:9" x14ac:dyDescent="0.3">
      <c r="A3599" s="2">
        <v>3598</v>
      </c>
      <c r="B3599" s="4" t="s">
        <v>50</v>
      </c>
      <c r="C3599" s="3" t="str">
        <f>"TFC000002369"</f>
        <v>TFC000002369</v>
      </c>
      <c r="D3599" s="3" t="str">
        <f>"F400-20-2662-(AR 4.9)"</f>
        <v>F400-20-2662-(AR 4.9)</v>
      </c>
      <c r="E3599" s="3" t="str">
        <f>"What if you had animal hair!?"</f>
        <v>What if you had animal hair!?</v>
      </c>
      <c r="F3599" s="3" t="str">
        <f>"by Sandra Markle ; illustrated by Howard McWilliam"</f>
        <v>by Sandra Markle ; illustrated by Howard McWilliam</v>
      </c>
      <c r="G3599" s="3" t="str">
        <f>"Scholastic"</f>
        <v>Scholastic</v>
      </c>
      <c r="H3599" s="2" t="str">
        <f>"2014"</f>
        <v>2014</v>
      </c>
      <c r="I3599" s="3" t="str">
        <f>""</f>
        <v/>
      </c>
    </row>
    <row r="3600" spans="1:9" x14ac:dyDescent="0.3">
      <c r="A3600" s="2">
        <v>3599</v>
      </c>
      <c r="B3600" s="4" t="s">
        <v>50</v>
      </c>
      <c r="C3600" s="3" t="str">
        <f>"TFC000002370"</f>
        <v>TFC000002370</v>
      </c>
      <c r="D3600" s="3" t="str">
        <f>"F800-20-2663-(AR 4.9)"</f>
        <v>F800-20-2663-(AR 4.9)</v>
      </c>
      <c r="E3600" s="3" t="str">
        <f>"My brother Sam is dead"</f>
        <v>My brother Sam is dead</v>
      </c>
      <c r="F3600" s="3" t="str">
        <f>"James Lincoln Collier ; Christopher Collier by"</f>
        <v>James Lincoln Collier ; Christopher Collier by</v>
      </c>
      <c r="G3600" s="3" t="str">
        <f>"Scholastic"</f>
        <v>Scholastic</v>
      </c>
      <c r="H3600" s="2" t="str">
        <f>"2018"</f>
        <v>2018</v>
      </c>
      <c r="I3600" s="3" t="str">
        <f>""</f>
        <v/>
      </c>
    </row>
    <row r="3601" spans="1:9" x14ac:dyDescent="0.3">
      <c r="A3601" s="2">
        <v>3600</v>
      </c>
      <c r="B3601" s="4" t="s">
        <v>50</v>
      </c>
      <c r="C3601" s="3" t="str">
        <f>"TFC000002371"</f>
        <v>TFC000002371</v>
      </c>
      <c r="D3601" s="3" t="str">
        <f>"F800-20-2664-(AR 4.9)"</f>
        <v>F800-20-2664-(AR 4.9)</v>
      </c>
      <c r="E3601" s="3" t="str">
        <f>"(The)boy who dared"</f>
        <v>(The)boy who dared</v>
      </c>
      <c r="F3601" s="3" t="str">
        <f>"Susan Campbell Bartoletti"</f>
        <v>Susan Campbell Bartoletti</v>
      </c>
      <c r="G3601" s="3" t="str">
        <f>"Scholastic Press"</f>
        <v>Scholastic Press</v>
      </c>
      <c r="H3601" s="2" t="str">
        <f>"2008"</f>
        <v>2008</v>
      </c>
      <c r="I3601" s="3" t="str">
        <f>""</f>
        <v/>
      </c>
    </row>
    <row r="3602" spans="1:9" x14ac:dyDescent="0.3">
      <c r="A3602" s="2">
        <v>3601</v>
      </c>
      <c r="B3602" s="4" t="s">
        <v>50</v>
      </c>
      <c r="C3602" s="3" t="str">
        <f>"TFC000002372"</f>
        <v>TFC000002372</v>
      </c>
      <c r="D3602" s="3" t="str">
        <f>"F800-20-2665-(AR 4.9)"</f>
        <v>F800-20-2665-(AR 4.9)</v>
      </c>
      <c r="E3602" s="3" t="str">
        <f>"Franny K. Stein mad scientist. 6, the fran with four brains"</f>
        <v>Franny K. Stein mad scientist. 6, the fran with four brains</v>
      </c>
      <c r="F3602" s="3" t="str">
        <f>"Jim Benton"</f>
        <v>Jim Benton</v>
      </c>
      <c r="G3602" s="3" t="str">
        <f>"Simon &amp; Schuster"</f>
        <v>Simon &amp; Schuster</v>
      </c>
      <c r="H3602" s="2" t="str">
        <f>"2007"</f>
        <v>2007</v>
      </c>
      <c r="I3602" s="3" t="str">
        <f>""</f>
        <v/>
      </c>
    </row>
    <row r="3603" spans="1:9" x14ac:dyDescent="0.3">
      <c r="A3603" s="2">
        <v>3602</v>
      </c>
      <c r="B3603" s="4" t="s">
        <v>50</v>
      </c>
      <c r="C3603" s="3" t="str">
        <f>"TFC000002373"</f>
        <v>TFC000002373</v>
      </c>
      <c r="D3603" s="3" t="str">
        <f>"F800-20-2666-(AR 4.9)"</f>
        <v>F800-20-2666-(AR 4.9)</v>
      </c>
      <c r="E3603" s="3" t="str">
        <f>"Dear Mr. Henshaw"</f>
        <v>Dear Mr. Henshaw</v>
      </c>
      <c r="F3603" s="3" t="str">
        <f>"by Beverly Cleary ; illustrated by Paul O. Zelinsky"</f>
        <v>by Beverly Cleary ; illustrated by Paul O. Zelinsky</v>
      </c>
      <c r="G3603" s="3" t="str">
        <f>"Morrow Junior Books"</f>
        <v>Morrow Junior Books</v>
      </c>
      <c r="H3603" s="2" t="str">
        <f>"1983"</f>
        <v>1983</v>
      </c>
      <c r="I3603" s="3" t="str">
        <f>""</f>
        <v/>
      </c>
    </row>
    <row r="3604" spans="1:9" x14ac:dyDescent="0.3">
      <c r="A3604" s="2">
        <v>3603</v>
      </c>
      <c r="B3604" s="4" t="s">
        <v>50</v>
      </c>
      <c r="C3604" s="3" t="str">
        <f>"TFC000002374"</f>
        <v>TFC000002374</v>
      </c>
      <c r="D3604" s="3" t="str">
        <f>"F800-20-2667-(AR 4.9)"</f>
        <v>F800-20-2667-(AR 4.9)</v>
      </c>
      <c r="E3604" s="3" t="str">
        <f>"Ramona the brave"</f>
        <v>Ramona the brave</v>
      </c>
      <c r="F3604" s="3" t="str">
        <f>"Beverly Cleary ; illustrated by Jacqueline Rogers"</f>
        <v>Beverly Cleary ; illustrated by Jacqueline Rogers</v>
      </c>
      <c r="G3604" s="3" t="str">
        <f>"Harper"</f>
        <v>Harper</v>
      </c>
      <c r="H3604" s="2" t="str">
        <f>"2013"</f>
        <v>2013</v>
      </c>
      <c r="I3604" s="3" t="str">
        <f>""</f>
        <v/>
      </c>
    </row>
    <row r="3605" spans="1:9" x14ac:dyDescent="0.3">
      <c r="A3605" s="2">
        <v>3604</v>
      </c>
      <c r="B3605" s="4" t="s">
        <v>50</v>
      </c>
      <c r="C3605" s="3" t="str">
        <f>"TFC000002376"</f>
        <v>TFC000002376</v>
      </c>
      <c r="D3605" s="3" t="str">
        <f>"F800-20-2669-(AR 4.9)"</f>
        <v>F800-20-2669-(AR 4.9)</v>
      </c>
      <c r="E3605" s="3" t="str">
        <f>"Walk two moons"</f>
        <v>Walk two moons</v>
      </c>
      <c r="F3605" s="3" t="str">
        <f>"by Sharon Creech"</f>
        <v>by Sharon Creech</v>
      </c>
      <c r="G3605" s="3" t="str">
        <f>"HarperTrophy"</f>
        <v>HarperTrophy</v>
      </c>
      <c r="H3605" s="2" t="str">
        <f>"2004"</f>
        <v>2004</v>
      </c>
      <c r="I3605" s="3" t="str">
        <f>""</f>
        <v/>
      </c>
    </row>
    <row r="3606" spans="1:9" x14ac:dyDescent="0.3">
      <c r="A3606" s="2">
        <v>3605</v>
      </c>
      <c r="B3606" s="4" t="s">
        <v>50</v>
      </c>
      <c r="C3606" s="3" t="str">
        <f>"TFC000002377"</f>
        <v>TFC000002377</v>
      </c>
      <c r="D3606" s="3" t="str">
        <f>"F800-20-2670-(AR 4.9)"</f>
        <v>F800-20-2670-(AR 4.9)</v>
      </c>
      <c r="E3606" s="3" t="str">
        <f>"(The)dragons of blueland"</f>
        <v>(The)dragons of blueland</v>
      </c>
      <c r="F3606" s="3" t="str">
        <f>"Ruth Stiles Gannett ; illustrated by Ruth Chrisman Gannett"</f>
        <v>Ruth Stiles Gannett ; illustrated by Ruth Chrisman Gannett</v>
      </c>
      <c r="G3606" s="3" t="str">
        <f>"Yearling Book"</f>
        <v>Yearling Book</v>
      </c>
      <c r="H3606" s="2" t="str">
        <f>"2007"</f>
        <v>2007</v>
      </c>
      <c r="I3606" s="3" t="str">
        <f>""</f>
        <v/>
      </c>
    </row>
    <row r="3607" spans="1:9" x14ac:dyDescent="0.3">
      <c r="A3607" s="2">
        <v>3606</v>
      </c>
      <c r="B3607" s="4" t="s">
        <v>50</v>
      </c>
      <c r="C3607" s="3" t="str">
        <f>"TFC000002378"</f>
        <v>TFC000002378</v>
      </c>
      <c r="D3607" s="3" t="str">
        <f>"F800-20-2671-(AR 4.9)"</f>
        <v>F800-20-2671-(AR 4.9)</v>
      </c>
      <c r="E3607" s="3" t="str">
        <f>"Joey Pigza loses control"</f>
        <v>Joey Pigza loses control</v>
      </c>
      <c r="F3607" s="3" t="str">
        <f>"Jack Gantos"</f>
        <v>Jack Gantos</v>
      </c>
      <c r="G3607" s="3" t="str">
        <f>"Square Fish"</f>
        <v>Square Fish</v>
      </c>
      <c r="H3607" s="2" t="str">
        <f>"2014"</f>
        <v>2014</v>
      </c>
      <c r="I3607" s="3" t="str">
        <f>""</f>
        <v/>
      </c>
    </row>
    <row r="3608" spans="1:9" x14ac:dyDescent="0.3">
      <c r="A3608" s="2">
        <v>3607</v>
      </c>
      <c r="B3608" s="4" t="s">
        <v>50</v>
      </c>
      <c r="C3608" s="3" t="str">
        <f>"TFC000002379"</f>
        <v>TFC000002379</v>
      </c>
      <c r="D3608" s="3" t="str">
        <f>"F800-20-2672-(AR 4.9)"</f>
        <v>F800-20-2672-(AR 4.9)</v>
      </c>
      <c r="E3608" s="3" t="str">
        <f>"Dying to meet you"</f>
        <v>Dying to meet you</v>
      </c>
      <c r="F3608" s="3" t="str">
        <f>"Kate Klise ; illustrated by M. Sarah Klise"</f>
        <v>Kate Klise ; illustrated by M. Sarah Klise</v>
      </c>
      <c r="G3608" s="3" t="str">
        <f>"Houghton Mifflin Harcourt"</f>
        <v>Houghton Mifflin Harcourt</v>
      </c>
      <c r="H3608" s="2" t="str">
        <f>"2009"</f>
        <v>2009</v>
      </c>
      <c r="I3608" s="3" t="str">
        <f>""</f>
        <v/>
      </c>
    </row>
    <row r="3609" spans="1:9" x14ac:dyDescent="0.3">
      <c r="A3609" s="2">
        <v>3608</v>
      </c>
      <c r="B3609" s="4" t="s">
        <v>50</v>
      </c>
      <c r="C3609" s="3" t="str">
        <f>"TFC000002380"</f>
        <v>TFC000002380</v>
      </c>
      <c r="D3609" s="3" t="str">
        <f>"F800-20-2673-(AR 4.9)"</f>
        <v>F800-20-2673-(AR 4.9)</v>
      </c>
      <c r="E3609" s="3" t="str">
        <f>"Zoobreak"</f>
        <v>Zoobreak</v>
      </c>
      <c r="F3609" s="3" t="str">
        <f>"Gordon Korman"</f>
        <v>Gordon Korman</v>
      </c>
      <c r="G3609" s="3" t="str">
        <f>"Scholastic"</f>
        <v>Scholastic</v>
      </c>
      <c r="H3609" s="2" t="str">
        <f>"2010"</f>
        <v>2010</v>
      </c>
      <c r="I3609" s="3" t="str">
        <f>""</f>
        <v/>
      </c>
    </row>
    <row r="3610" spans="1:9" x14ac:dyDescent="0.3">
      <c r="A3610" s="2">
        <v>3609</v>
      </c>
      <c r="B3610" s="4" t="s">
        <v>50</v>
      </c>
      <c r="C3610" s="3" t="str">
        <f>"TFC000002381"</f>
        <v>TFC000002381</v>
      </c>
      <c r="D3610" s="3" t="str">
        <f>"F800-20-2674-(AR 4.9)"</f>
        <v>F800-20-2674-(AR 4.9)</v>
      </c>
      <c r="E3610" s="3" t="str">
        <f>"Twilight"</f>
        <v>Twilight</v>
      </c>
      <c r="F3610" s="3" t="str">
        <f>"Stephenie Meyer"</f>
        <v>Stephenie Meyer</v>
      </c>
      <c r="G3610" s="3" t="str">
        <f>"Little, Brown"</f>
        <v>Little, Brown</v>
      </c>
      <c r="H3610" s="2" t="str">
        <f>"2006"</f>
        <v>2006</v>
      </c>
      <c r="I3610" s="3" t="str">
        <f>""</f>
        <v/>
      </c>
    </row>
    <row r="3611" spans="1:9" x14ac:dyDescent="0.3">
      <c r="A3611" s="2">
        <v>3610</v>
      </c>
      <c r="B3611" s="4" t="s">
        <v>50</v>
      </c>
      <c r="C3611" s="3" t="str">
        <f>"TFC000002382"</f>
        <v>TFC000002382</v>
      </c>
      <c r="D3611" s="3" t="str">
        <f>"F800-20-2675-(AR 4.9)"</f>
        <v>F800-20-2675-(AR 4.9)</v>
      </c>
      <c r="E3611" s="3" t="str">
        <f>"(The)hole story of the doughnut"</f>
        <v>(The)hole story of the doughnut</v>
      </c>
      <c r="F3611" s="3" t="str">
        <f>"Pat Miller ; illustrated by Vincent X. Kirsch"</f>
        <v>Pat Miller ; illustrated by Vincent X. Kirsch</v>
      </c>
      <c r="G3611" s="3" t="str">
        <f>"Houghton Mifflin Harcourt"</f>
        <v>Houghton Mifflin Harcourt</v>
      </c>
      <c r="H3611" s="2" t="str">
        <f>"2016"</f>
        <v>2016</v>
      </c>
      <c r="I3611" s="3" t="str">
        <f>""</f>
        <v/>
      </c>
    </row>
    <row r="3612" spans="1:9" x14ac:dyDescent="0.3">
      <c r="A3612" s="2">
        <v>3611</v>
      </c>
      <c r="B3612" s="4" t="s">
        <v>50</v>
      </c>
      <c r="C3612" s="3" t="str">
        <f>"TFC000002383"</f>
        <v>TFC000002383</v>
      </c>
      <c r="D3612" s="3" t="str">
        <f>"F800-20-2676-(AR 4.9)"</f>
        <v>F800-20-2676-(AR 4.9)</v>
      </c>
      <c r="E3612" s="3" t="str">
        <f>"Twelve kinds of ice"</f>
        <v>Twelve kinds of ice</v>
      </c>
      <c r="F3612" s="3" t="str">
        <f>"by Ellen Bryan Obed ; illustrated by Barbara McClintock"</f>
        <v>by Ellen Bryan Obed ; illustrated by Barbara McClintock</v>
      </c>
      <c r="G3612" s="3" t="str">
        <f>"Houghton Mifflin Harcourt"</f>
        <v>Houghton Mifflin Harcourt</v>
      </c>
      <c r="H3612" s="2" t="str">
        <f>"2012"</f>
        <v>2012</v>
      </c>
      <c r="I3612" s="3" t="str">
        <f>""</f>
        <v/>
      </c>
    </row>
    <row r="3613" spans="1:9" x14ac:dyDescent="0.3">
      <c r="A3613" s="2">
        <v>3612</v>
      </c>
      <c r="B3613" s="4" t="s">
        <v>50</v>
      </c>
      <c r="C3613" s="3" t="str">
        <f>"TFC000002384"</f>
        <v>TFC000002384</v>
      </c>
      <c r="D3613" s="3" t="str">
        <f>"F800-20-2677-(AR 4.9)"</f>
        <v>F800-20-2677-(AR 4.9)</v>
      </c>
      <c r="E3613" s="3" t="str">
        <f>"(The)nantucket sea monster : a fake news story"</f>
        <v>(The)nantucket sea monster : a fake news story</v>
      </c>
      <c r="F3613" s="3" t="str">
        <f>"written by Darcy Pattison ; illustrated by Peter Willis"</f>
        <v>written by Darcy Pattison ; illustrated by Peter Willis</v>
      </c>
      <c r="G3613" s="3" t="str">
        <f>"Mims House"</f>
        <v>Mims House</v>
      </c>
      <c r="H3613" s="2" t="str">
        <f>"2017"</f>
        <v>2017</v>
      </c>
      <c r="I3613" s="3" t="str">
        <f>""</f>
        <v/>
      </c>
    </row>
    <row r="3614" spans="1:9" x14ac:dyDescent="0.3">
      <c r="A3614" s="2">
        <v>3613</v>
      </c>
      <c r="B3614" s="4" t="s">
        <v>50</v>
      </c>
      <c r="C3614" s="3" t="str">
        <f>"TFC000002385"</f>
        <v>TFC000002385</v>
      </c>
      <c r="D3614" s="3" t="str">
        <f>"F800-20-2678-(AR 4.9)"</f>
        <v>F800-20-2678-(AR 4.9)</v>
      </c>
      <c r="E3614" s="3" t="str">
        <f>"Where the red fern grows"</f>
        <v>Where the red fern grows</v>
      </c>
      <c r="F3614" s="3" t="str">
        <f>"Wilson Rawls"</f>
        <v>Wilson Rawls</v>
      </c>
      <c r="G3614" s="3" t="str">
        <f>"Yearling Book"</f>
        <v>Yearling Book</v>
      </c>
      <c r="H3614" s="2" t="str">
        <f>"2016"</f>
        <v>2016</v>
      </c>
      <c r="I3614" s="3" t="str">
        <f>""</f>
        <v/>
      </c>
    </row>
    <row r="3615" spans="1:9" x14ac:dyDescent="0.3">
      <c r="A3615" s="2">
        <v>3614</v>
      </c>
      <c r="B3615" s="4" t="s">
        <v>50</v>
      </c>
      <c r="C3615" s="3" t="str">
        <f>"TFC000002386"</f>
        <v>TFC000002386</v>
      </c>
      <c r="D3615" s="3" t="str">
        <f>"F800-20-2679-(AR 4.9)"</f>
        <v>F800-20-2679-(AR 4.9)</v>
      </c>
      <c r="E3615" s="3" t="str">
        <f>"Dork diaries. 3, tales from a not-so-talented pop star"</f>
        <v>Dork diaries. 3, tales from a not-so-talented pop star</v>
      </c>
      <c r="F3615" s="3" t="str">
        <f>"Rachel Renee Russell"</f>
        <v>Rachel Renee Russell</v>
      </c>
      <c r="G3615" s="3" t="str">
        <f>"Aladdin"</f>
        <v>Aladdin</v>
      </c>
      <c r="H3615" s="2" t="str">
        <f>"2011"</f>
        <v>2011</v>
      </c>
      <c r="I3615" s="3" t="str">
        <f>""</f>
        <v/>
      </c>
    </row>
    <row r="3616" spans="1:9" x14ac:dyDescent="0.3">
      <c r="A3616" s="2">
        <v>3615</v>
      </c>
      <c r="B3616" s="4" t="s">
        <v>50</v>
      </c>
      <c r="C3616" s="3" t="str">
        <f>"TFC000002387"</f>
        <v>TFC000002387</v>
      </c>
      <c r="D3616" s="3" t="str">
        <f>"F800-20-2680-(AR 4.9)"</f>
        <v>F800-20-2680-(AR 4.9)</v>
      </c>
      <c r="E3616" s="3" t="str">
        <f>"Dork diaries. 9, tales from a not-so-dorky drama queen"</f>
        <v>Dork diaries. 9, tales from a not-so-dorky drama queen</v>
      </c>
      <c r="F3616" s="3" t="str">
        <f>"Rachel Renee Russell, Nikki Russell, Erin Russell"</f>
        <v>Rachel Renee Russell, Nikki Russell, Erin Russell</v>
      </c>
      <c r="G3616" s="3" t="str">
        <f>"Aladdin Paperbacks"</f>
        <v>Aladdin Paperbacks</v>
      </c>
      <c r="H3616" s="2" t="str">
        <f>"2015"</f>
        <v>2015</v>
      </c>
      <c r="I3616" s="3" t="str">
        <f>""</f>
        <v/>
      </c>
    </row>
    <row r="3617" spans="1:9" x14ac:dyDescent="0.3">
      <c r="A3617" s="2">
        <v>3616</v>
      </c>
      <c r="B3617" s="4" t="s">
        <v>50</v>
      </c>
      <c r="C3617" s="3" t="str">
        <f>"TFC000002388"</f>
        <v>TFC000002388</v>
      </c>
      <c r="D3617" s="3" t="str">
        <f>"F800-20-2681-(AR 4.9)"</f>
        <v>F800-20-2681-(AR 4.9)</v>
      </c>
      <c r="E3617" s="3" t="str">
        <f>"Miracles on Maple Hill"</f>
        <v>Miracles on Maple Hill</v>
      </c>
      <c r="F3617" s="3" t="str">
        <f>"Virginia Sorensen ; illustrated by Beth Krush"</f>
        <v>Virginia Sorensen ; illustrated by Beth Krush</v>
      </c>
      <c r="G3617" s="3" t="str">
        <f>"Harcourt"</f>
        <v>Harcourt</v>
      </c>
      <c r="H3617" s="2" t="str">
        <f>"2003"</f>
        <v>2003</v>
      </c>
      <c r="I3617" s="3" t="str">
        <f>""</f>
        <v/>
      </c>
    </row>
    <row r="3618" spans="1:9" x14ac:dyDescent="0.3">
      <c r="A3618" s="2">
        <v>3617</v>
      </c>
      <c r="B3618" s="4" t="s">
        <v>50</v>
      </c>
      <c r="C3618" s="3" t="str">
        <f>"TFC000002389"</f>
        <v>TFC000002389</v>
      </c>
      <c r="D3618" s="3" t="str">
        <f>"F800-20-2682-(AR 4.9)"</f>
        <v>F800-20-2682-(AR 4.9)</v>
      </c>
      <c r="E3618" s="3" t="str">
        <f>"Frazzled : everyday disasters and impending doom"</f>
        <v>Frazzled : everyday disasters and impending doom</v>
      </c>
      <c r="F3618" s="3" t="str">
        <f>"Booki Vivat"</f>
        <v>Booki Vivat</v>
      </c>
      <c r="G3618" s="3" t="str">
        <f>"Harper"</f>
        <v>Harper</v>
      </c>
      <c r="H3618" s="2" t="str">
        <f>"2016"</f>
        <v>2016</v>
      </c>
      <c r="I3618" s="3" t="str">
        <f>""</f>
        <v/>
      </c>
    </row>
    <row r="3619" spans="1:9" x14ac:dyDescent="0.3">
      <c r="A3619" s="2">
        <v>3618</v>
      </c>
      <c r="B3619" s="4" t="s">
        <v>50</v>
      </c>
      <c r="C3619" s="3" t="str">
        <f>"TFC000002390"</f>
        <v>TFC000002390</v>
      </c>
      <c r="D3619" s="3" t="str">
        <f>"F800-20-2683-(AR 4.9)"</f>
        <v>F800-20-2683-(AR 4.9)</v>
      </c>
      <c r="E3619" s="3" t="str">
        <f>"(The)trumpet of the swan"</f>
        <v>(The)trumpet of the swan</v>
      </c>
      <c r="F3619" s="3" t="str">
        <f>"E. B. White ; illustrated by Fred Marcellino"</f>
        <v>E. B. White ; illustrated by Fred Marcellino</v>
      </c>
      <c r="G3619" s="3" t="str">
        <f>"HarperTrophy"</f>
        <v>HarperTrophy</v>
      </c>
      <c r="H3619" s="2" t="str">
        <f>"2000"</f>
        <v>2000</v>
      </c>
      <c r="I3619" s="3" t="str">
        <f>""</f>
        <v/>
      </c>
    </row>
    <row r="3620" spans="1:9" x14ac:dyDescent="0.3">
      <c r="A3620" s="2">
        <v>3619</v>
      </c>
      <c r="B3620" s="4" t="s">
        <v>50</v>
      </c>
      <c r="C3620" s="3" t="str">
        <f>"TFC000002391"</f>
        <v>TFC000002391</v>
      </c>
      <c r="D3620" s="3" t="str">
        <f>"F800-20-2684-(AR 4.9)"</f>
        <v>F800-20-2684-(AR 4.9)</v>
      </c>
      <c r="E3620" s="3" t="str">
        <f>"Wolf hollow"</f>
        <v>Wolf hollow</v>
      </c>
      <c r="F3620" s="3" t="str">
        <f>"by Lauren Wolk"</f>
        <v>by Lauren Wolk</v>
      </c>
      <c r="G3620" s="3" t="str">
        <f>"Dutton Children's Books"</f>
        <v>Dutton Children's Books</v>
      </c>
      <c r="H3620" s="2" t="str">
        <f>"2016"</f>
        <v>2016</v>
      </c>
      <c r="I3620" s="3" t="str">
        <f>""</f>
        <v/>
      </c>
    </row>
    <row r="3621" spans="1:9" x14ac:dyDescent="0.3">
      <c r="A3621" s="2">
        <v>3620</v>
      </c>
      <c r="B3621" s="4" t="s">
        <v>50</v>
      </c>
      <c r="C3621" s="3" t="str">
        <f>"TFC000002392"</f>
        <v>TFC000002392</v>
      </c>
      <c r="D3621" s="3" t="str">
        <f>"F900-20-2692-(AR 4.9)"</f>
        <v>F900-20-2692-(AR 4.9)</v>
      </c>
      <c r="E3621" s="3" t="str">
        <f>"United tweets of America : 50 state birds"</f>
        <v>United tweets of America : 50 state birds</v>
      </c>
      <c r="F3621" s="3" t="str">
        <f>"by Hudson Talbott"</f>
        <v>by Hudson Talbott</v>
      </c>
      <c r="G3621" s="3" t="str">
        <f>"Puffin Books"</f>
        <v>Puffin Books</v>
      </c>
      <c r="H3621" s="2" t="str">
        <f>"2008"</f>
        <v>2008</v>
      </c>
      <c r="I3621" s="3" t="str">
        <f>""</f>
        <v/>
      </c>
    </row>
    <row r="3622" spans="1:9" x14ac:dyDescent="0.3">
      <c r="A3622" s="2">
        <v>3621</v>
      </c>
      <c r="B3622" s="4" t="s">
        <v>50</v>
      </c>
      <c r="C3622" s="3" t="str">
        <f>"TFC000002393"</f>
        <v>TFC000002393</v>
      </c>
      <c r="D3622" s="3" t="str">
        <f>"F900-20-2693-(AR 4.9)"</f>
        <v>F900-20-2693-(AR 4.9)</v>
      </c>
      <c r="E3622" s="3" t="str">
        <f>"Hottest, coldest, highest, deepest"</f>
        <v>Hottest, coldest, highest, deepest</v>
      </c>
      <c r="F3622" s="3" t="str">
        <f>"Steve Jenkins"</f>
        <v>Steve Jenkins</v>
      </c>
      <c r="G3622" s="3" t="str">
        <f>"Houghton Mifflin"</f>
        <v>Houghton Mifflin</v>
      </c>
      <c r="H3622" s="2" t="str">
        <f>"2004"</f>
        <v>2004</v>
      </c>
      <c r="I3622" s="3" t="str">
        <f>""</f>
        <v/>
      </c>
    </row>
    <row r="3623" spans="1:9" x14ac:dyDescent="0.3">
      <c r="A3623" s="2">
        <v>3622</v>
      </c>
      <c r="B3623" s="4" t="s">
        <v>50</v>
      </c>
      <c r="C3623" s="3" t="str">
        <f>"TFC000002394"</f>
        <v>TFC000002394</v>
      </c>
      <c r="D3623" s="3" t="str">
        <f>"F900-20-2694-(AR 4.9)"</f>
        <v>F900-20-2694-(AR 4.9)</v>
      </c>
      <c r="E3623" s="3" t="str">
        <f>"Pirates : pirates past noon"</f>
        <v>Pirates : pirates past noon</v>
      </c>
      <c r="F3623" s="3" t="str">
        <f>"by Will Osborne ; Mary Pope Osborne ; illustrated by Sal Murdocca"</f>
        <v>by Will Osborne ; Mary Pope Osborne ; illustrated by Sal Murdocca</v>
      </c>
      <c r="G3623" s="3" t="str">
        <f>"Random house"</f>
        <v>Random house</v>
      </c>
      <c r="H3623" s="2" t="str">
        <f>"2011"</f>
        <v>2011</v>
      </c>
      <c r="I3623" s="3" t="str">
        <f>""</f>
        <v/>
      </c>
    </row>
    <row r="3624" spans="1:9" x14ac:dyDescent="0.3">
      <c r="A3624" s="2">
        <v>3623</v>
      </c>
      <c r="B3624" s="4" t="s">
        <v>50</v>
      </c>
      <c r="C3624" s="3" t="str">
        <f>"TFC000002395"</f>
        <v>TFC000002395</v>
      </c>
      <c r="D3624" s="3" t="str">
        <f>"F900-20-2695-(AR 4.9)"</f>
        <v>F900-20-2695-(AR 4.9)</v>
      </c>
      <c r="E3624" s="3" t="str">
        <f>"Who is Malala Yousafzai?"</f>
        <v>Who is Malala Yousafzai?</v>
      </c>
      <c r="F3624" s="3" t="str">
        <f>"by Dinah Brown ; illustrated by Andrew Thomson"</f>
        <v>by Dinah Brown ; illustrated by Andrew Thomson</v>
      </c>
      <c r="G3624" s="3" t="str">
        <f>"Grosset &amp; Dunlap"</f>
        <v>Grosset &amp; Dunlap</v>
      </c>
      <c r="H3624" s="2" t="str">
        <f>"2015"</f>
        <v>2015</v>
      </c>
      <c r="I3624" s="3" t="str">
        <f>""</f>
        <v/>
      </c>
    </row>
    <row r="3625" spans="1:9" x14ac:dyDescent="0.3">
      <c r="A3625" s="2">
        <v>3624</v>
      </c>
      <c r="B3625" s="4" t="s">
        <v>50</v>
      </c>
      <c r="C3625" s="3" t="str">
        <f>"TFC000002396"</f>
        <v>TFC000002396</v>
      </c>
      <c r="D3625" s="3" t="str">
        <f>"F900-20-2696-(AR 4.9)"</f>
        <v>F900-20-2696-(AR 4.9)</v>
      </c>
      <c r="E3625" s="3" t="str">
        <f>"George Washington"</f>
        <v>George Washington</v>
      </c>
      <c r="F3625" s="3" t="str">
        <f>"written and illustrated by Mike Venezia"</f>
        <v>written and illustrated by Mike Venezia</v>
      </c>
      <c r="G3625" s="3" t="str">
        <f>"Children's Press"</f>
        <v>Children's Press</v>
      </c>
      <c r="H3625" s="2" t="str">
        <f>"2004"</f>
        <v>2004</v>
      </c>
      <c r="I3625" s="3" t="str">
        <f>""</f>
        <v/>
      </c>
    </row>
    <row r="3626" spans="1:9" x14ac:dyDescent="0.3">
      <c r="A3626" s="2">
        <v>3625</v>
      </c>
      <c r="B3626" s="4" t="s">
        <v>50</v>
      </c>
      <c r="C3626" s="3" t="str">
        <f>"TFC000002397"</f>
        <v>TFC000002397</v>
      </c>
      <c r="D3626" s="3" t="str">
        <f>"F900-20-2697-(AR 4.9)"</f>
        <v>F900-20-2697-(AR 4.9)</v>
      </c>
      <c r="E3626" s="3" t="str">
        <f>"Harriet Tubman"</f>
        <v>Harriet Tubman</v>
      </c>
      <c r="F3626" s="3" t="str">
        <f>"written by Mª Isabel Sanchez Vegara ; illustrated by Pili Aguado"</f>
        <v>written by Mª Isabel Sanchez Vegara ; illustrated by Pili Aguado</v>
      </c>
      <c r="G3626" s="3" t="str">
        <f>"Lincoln Children's Books"</f>
        <v>Lincoln Children's Books</v>
      </c>
      <c r="H3626" s="2" t="str">
        <f>"2018"</f>
        <v>2018</v>
      </c>
      <c r="I3626" s="3" t="str">
        <f>""</f>
        <v/>
      </c>
    </row>
    <row r="3627" spans="1:9" x14ac:dyDescent="0.3">
      <c r="A3627" s="2">
        <v>3626</v>
      </c>
      <c r="B3627" s="4" t="s">
        <v>50</v>
      </c>
      <c r="C3627" s="3" t="str">
        <f>"TFC000002398"</f>
        <v>TFC000002398</v>
      </c>
      <c r="D3627" s="3" t="str">
        <f>"F900-20-2698-(AR 4.9)"</f>
        <v>F900-20-2698-(AR 4.9)</v>
      </c>
      <c r="E3627" s="3" t="str">
        <f>"Mary McLeod Bethune"</f>
        <v>Mary McLeod Bethune</v>
      </c>
      <c r="F3627" s="3" t="str">
        <f>"by Eloise Greenfield ; illustrated by Jerry Pinkney"</f>
        <v>by Eloise Greenfield ; illustrated by Jerry Pinkney</v>
      </c>
      <c r="G3627" s="3" t="str">
        <f>"Harpercollins Publishers"</f>
        <v>Harpercollins Publishers</v>
      </c>
      <c r="H3627" s="2" t="str">
        <f>"1977"</f>
        <v>1977</v>
      </c>
      <c r="I3627" s="3" t="str">
        <f>""</f>
        <v/>
      </c>
    </row>
    <row r="3628" spans="1:9" x14ac:dyDescent="0.3">
      <c r="A3628" s="2">
        <v>3627</v>
      </c>
      <c r="B3628" s="4" t="s">
        <v>50</v>
      </c>
      <c r="C3628" s="3" t="str">
        <f>"TFC000002399"</f>
        <v>TFC000002399</v>
      </c>
      <c r="D3628" s="3" t="str">
        <f>"F900-20-2699-(AR 4.9)"</f>
        <v>F900-20-2699-(AR 4.9)</v>
      </c>
      <c r="E3628" s="3" t="str">
        <f>"Who was Alexander Graham Bell?"</f>
        <v>Who was Alexander Graham Bell?</v>
      </c>
      <c r="F3628" s="3" t="str">
        <f>"by Bonnie Bader ; illustrated by David Groff"</f>
        <v>by Bonnie Bader ; illustrated by David Groff</v>
      </c>
      <c r="G3628" s="3" t="str">
        <f>"Penguin Workshop"</f>
        <v>Penguin Workshop</v>
      </c>
      <c r="H3628" s="2" t="str">
        <f>"2013"</f>
        <v>2013</v>
      </c>
      <c r="I3628" s="3" t="str">
        <f>""</f>
        <v/>
      </c>
    </row>
    <row r="3629" spans="1:9" x14ac:dyDescent="0.3">
      <c r="A3629" s="2">
        <v>3628</v>
      </c>
      <c r="B3629" s="4" t="s">
        <v>50</v>
      </c>
      <c r="C3629" s="3" t="str">
        <f>"TFC000002400"</f>
        <v>TFC000002400</v>
      </c>
      <c r="D3629" s="3" t="str">
        <f>"F900-20-2700-(AR 4.9)"</f>
        <v>F900-20-2700-(AR 4.9)</v>
      </c>
      <c r="E3629" s="3" t="str">
        <f>"Who was Jim Henson?"</f>
        <v>Who was Jim Henson?</v>
      </c>
      <c r="F3629" s="3" t="str">
        <f>"by Joan Holub ; Illustrated by Nancy Harrison"</f>
        <v>by Joan Holub ; Illustrated by Nancy Harrison</v>
      </c>
      <c r="G3629" s="3" t="str">
        <f>"Grosset &amp; Dunlap"</f>
        <v>Grosset &amp; Dunlap</v>
      </c>
      <c r="H3629" s="2" t="str">
        <f>"2010"</f>
        <v>2010</v>
      </c>
      <c r="I3629" s="3" t="str">
        <f>""</f>
        <v/>
      </c>
    </row>
    <row r="3630" spans="1:9" x14ac:dyDescent="0.3">
      <c r="A3630" s="2">
        <v>3629</v>
      </c>
      <c r="B3630" s="4" t="s">
        <v>50</v>
      </c>
      <c r="C3630" s="3" t="str">
        <f>"TFC000002401"</f>
        <v>TFC000002401</v>
      </c>
      <c r="D3630" s="3" t="str">
        <f>"F900-20-2701-(AR 4.9)"</f>
        <v>F900-20-2701-(AR 4.9)</v>
      </c>
      <c r="E3630" s="3" t="str">
        <f>"Who was Walt Disney?"</f>
        <v>Who was Walt Disney?</v>
      </c>
      <c r="F3630" s="3" t="str">
        <f>"by Whitney Stewart ; illustrated by Nancy Harrison"</f>
        <v>by Whitney Stewart ; illustrated by Nancy Harrison</v>
      </c>
      <c r="G3630" s="3" t="str">
        <f>"Grosset &amp; Dunlap"</f>
        <v>Grosset &amp; Dunlap</v>
      </c>
      <c r="H3630" s="2" t="str">
        <f>"2009"</f>
        <v>2009</v>
      </c>
      <c r="I3630" s="3" t="str">
        <f>""</f>
        <v/>
      </c>
    </row>
    <row r="3631" spans="1:9" x14ac:dyDescent="0.3">
      <c r="A3631" s="2">
        <v>3630</v>
      </c>
      <c r="B3631" s="4" t="s">
        <v>50</v>
      </c>
      <c r="C3631" s="3" t="str">
        <f>"TFC000002402"</f>
        <v>TFC000002402</v>
      </c>
      <c r="D3631" s="3" t="str">
        <f>"F900-20-2702-(AR 4.9)"</f>
        <v>F900-20-2702-(AR 4.9)</v>
      </c>
      <c r="E3631" s="3" t="str">
        <f>"Who was King Tut?"</f>
        <v>Who was King Tut?</v>
      </c>
      <c r="F3631" s="3" t="str">
        <f>"by Roberta Edwards ; illustrated by True Kelley"</f>
        <v>by Roberta Edwards ; illustrated by True Kelley</v>
      </c>
      <c r="G3631" s="3" t="str">
        <f>"Grosset &amp; Dunlap"</f>
        <v>Grosset &amp; Dunlap</v>
      </c>
      <c r="H3631" s="2" t="str">
        <f>"2006"</f>
        <v>2006</v>
      </c>
      <c r="I3631" s="3" t="str">
        <f>""</f>
        <v/>
      </c>
    </row>
    <row r="3632" spans="1:9" x14ac:dyDescent="0.3">
      <c r="A3632" s="2">
        <v>3631</v>
      </c>
      <c r="B3632" s="4" t="s">
        <v>50</v>
      </c>
      <c r="C3632" s="3" t="str">
        <f>"TFC000002403"</f>
        <v>TFC000002403</v>
      </c>
      <c r="D3632" s="3" t="str">
        <f>"F900-20-2703-(AR 4.9)"</f>
        <v>F900-20-2703-(AR 4.9)</v>
      </c>
      <c r="E3632" s="3" t="str">
        <f>"Who was Ferdinand Magellan?"</f>
        <v>Who was Ferdinand Magellan?</v>
      </c>
      <c r="F3632" s="3" t="str">
        <f>"by Sydelle Kramer ; illustrated by Elizabeth Wolf"</f>
        <v>by Sydelle Kramer ; illustrated by Elizabeth Wolf</v>
      </c>
      <c r="G3632" s="3" t="str">
        <f>"Grosset &amp; Dunlap"</f>
        <v>Grosset &amp; Dunlap</v>
      </c>
      <c r="H3632" s="2" t="str">
        <f>"2004"</f>
        <v>2004</v>
      </c>
      <c r="I3632" s="3" t="str">
        <f>""</f>
        <v/>
      </c>
    </row>
    <row r="3633" spans="1:9" x14ac:dyDescent="0.3">
      <c r="A3633" s="2">
        <v>3632</v>
      </c>
      <c r="B3633" s="4" t="s">
        <v>50</v>
      </c>
      <c r="C3633" s="3" t="str">
        <f>"TFC000002910"</f>
        <v>TFC000002910</v>
      </c>
      <c r="D3633" s="3" t="str">
        <f>"F800-20-2685-(AR 4.9)"</f>
        <v>F800-20-2685-(AR 4.9)</v>
      </c>
      <c r="E3633" s="3" t="str">
        <f>"(The)Phantom of the post office"</f>
        <v>(The)Phantom of the post office</v>
      </c>
      <c r="F3633" s="3" t="str">
        <f>"Kate Klise ; illustrated by M. Sarah Klise"</f>
        <v>Kate Klise ; illustrated by M. Sarah Klise</v>
      </c>
      <c r="G3633" s="3" t="str">
        <f>"Sandpiper:Houghton Mifflin Harcourt"</f>
        <v>Sandpiper:Houghton Mifflin Harcourt</v>
      </c>
      <c r="H3633" s="2" t="str">
        <f>"2012"</f>
        <v>2012</v>
      </c>
      <c r="I3633" s="3" t="str">
        <f>""</f>
        <v/>
      </c>
    </row>
    <row r="3634" spans="1:9" x14ac:dyDescent="0.3">
      <c r="A3634" s="2">
        <v>3633</v>
      </c>
      <c r="B3634" s="4" t="s">
        <v>50</v>
      </c>
      <c r="C3634" s="3" t="str">
        <f>"TFC000002912"</f>
        <v>TFC000002912</v>
      </c>
      <c r="D3634" s="3" t="str">
        <f>"F900-20-2704-(AR 4.9)"</f>
        <v>F900-20-2704-(AR 4.9)</v>
      </c>
      <c r="E3634" s="3" t="str">
        <f>"Take a stand, rosa parks"</f>
        <v>Take a stand, rosa parks</v>
      </c>
      <c r="F3634" s="3" t="str">
        <f>"by Pete Roop, Connie Roop"</f>
        <v>by Pete Roop, Connie Roop</v>
      </c>
      <c r="G3634" s="3" t="str">
        <f>"Scholastic"</f>
        <v>Scholastic</v>
      </c>
      <c r="H3634" s="2" t="str">
        <f>"2005"</f>
        <v>2005</v>
      </c>
      <c r="I3634" s="3" t="str">
        <f>""</f>
        <v/>
      </c>
    </row>
    <row r="3635" spans="1:9" x14ac:dyDescent="0.3">
      <c r="A3635" s="2">
        <v>3634</v>
      </c>
      <c r="B3635" s="4" t="s">
        <v>50</v>
      </c>
      <c r="C3635" s="3" t="str">
        <f>"TFC000002977"</f>
        <v>TFC000002977</v>
      </c>
      <c r="D3635" s="3" t="str">
        <f>"F800-20-2687-(AR 4.9)"</f>
        <v>F800-20-2687-(AR 4.9)</v>
      </c>
      <c r="E3635" s="3" t="str">
        <f>"(The)ghost of fossil glen"</f>
        <v>(The)ghost of fossil glen</v>
      </c>
      <c r="F3635" s="3" t="str">
        <f>"Cynthia DeFelice"</f>
        <v>Cynthia DeFelice</v>
      </c>
      <c r="G3635" s="3" t="str">
        <f>"Square Fish"</f>
        <v>Square Fish</v>
      </c>
      <c r="H3635" s="2" t="str">
        <f>"2010"</f>
        <v>2010</v>
      </c>
      <c r="I3635" s="3" t="str">
        <f>""</f>
        <v/>
      </c>
    </row>
    <row r="3636" spans="1:9" x14ac:dyDescent="0.3">
      <c r="A3636" s="2">
        <v>3635</v>
      </c>
      <c r="B3636" s="4" t="s">
        <v>50</v>
      </c>
      <c r="C3636" s="3" t="str">
        <f>"TFC000003063"</f>
        <v>TFC000003063</v>
      </c>
      <c r="D3636" s="3" t="str">
        <f>"F800-20-2688-(AR 4.9)"</f>
        <v>F800-20-2688-(AR 4.9)</v>
      </c>
      <c r="E3636" s="3" t="str">
        <f>"(The)search for treasure : the sixth adventure in the kingdom of fantasy"</f>
        <v>(The)search for treasure : the sixth adventure in the kingdom of fantasy</v>
      </c>
      <c r="F3636" s="3" t="str">
        <f>"text by Geronimo Stilton ; illustrations by Danilo Barozzi...[et al.] ; translated by Lidia Morson Tramontozzi"</f>
        <v>text by Geronimo Stilton ; illustrations by Danilo Barozzi...[et al.] ; translated by Lidia Morson Tramontozzi</v>
      </c>
      <c r="G3636" s="3" t="str">
        <f>"Scholastic"</f>
        <v>Scholastic</v>
      </c>
      <c r="H3636" s="2" t="str">
        <f>"2014"</f>
        <v>2014</v>
      </c>
      <c r="I3636" s="3" t="str">
        <f>""</f>
        <v/>
      </c>
    </row>
    <row r="3637" spans="1:9" x14ac:dyDescent="0.3">
      <c r="A3637" s="2">
        <v>3636</v>
      </c>
      <c r="B3637" s="4" t="s">
        <v>50</v>
      </c>
      <c r="C3637" s="3" t="str">
        <f>"TFC000003171"</f>
        <v>TFC000003171</v>
      </c>
      <c r="D3637" s="3" t="str">
        <f>"F800-20-2691-(AR 4.9)"</f>
        <v>F800-20-2691-(AR 4.9)</v>
      </c>
      <c r="E3637" s="3" t="str">
        <f>"Captain underpants and the big, bad battle of the bionic booger boy. part 2, the revenge of the ridiculous Robo-Boogers"</f>
        <v>Captain underpants and the big, bad battle of the bionic booger boy. part 2, the revenge of the ridiculous Robo-Boogers</v>
      </c>
      <c r="F3637" s="3" t="str">
        <f>"Dav Pilkey"</f>
        <v>Dav Pilkey</v>
      </c>
      <c r="G3637" s="3" t="str">
        <f>"Scholastic"</f>
        <v>Scholastic</v>
      </c>
      <c r="H3637" s="2" t="str">
        <f>"2019"</f>
        <v>2019</v>
      </c>
      <c r="I3637" s="3" t="str">
        <f>""</f>
        <v/>
      </c>
    </row>
    <row r="3638" spans="1:9" x14ac:dyDescent="0.3">
      <c r="A3638" s="2">
        <v>3637</v>
      </c>
      <c r="B3638" s="4" t="s">
        <v>50</v>
      </c>
      <c r="C3638" s="3" t="str">
        <f>"TFC000003259"</f>
        <v>TFC000003259</v>
      </c>
      <c r="D3638" s="3" t="str">
        <f>"F400-21-0837-(AR 4.9)"</f>
        <v>F400-21-0837-(AR 4.9)</v>
      </c>
      <c r="E3638" s="3" t="str">
        <f>"Insects"</f>
        <v>Insects</v>
      </c>
      <c r="F3638" s="3" t="str">
        <f>"based on The magic school bus books written by Joanna Cole ; illustrated by Bruce Degen ; text by Tom Jackson"</f>
        <v>based on The magic school bus books written by Joanna Cole ; illustrated by Bruce Degen ; text by Tom Jackson</v>
      </c>
      <c r="G3638" s="3" t="str">
        <f>"Scholastic Inc"</f>
        <v>Scholastic Inc</v>
      </c>
      <c r="H3638" s="2" t="str">
        <f>"2015"</f>
        <v>2015</v>
      </c>
      <c r="I3638" s="3" t="str">
        <f>""</f>
        <v/>
      </c>
    </row>
    <row r="3639" spans="1:9" x14ac:dyDescent="0.3">
      <c r="A3639" s="2">
        <v>3638</v>
      </c>
      <c r="B3639" s="4" t="s">
        <v>50</v>
      </c>
      <c r="C3639" s="3" t="str">
        <f>"TFC000003407"</f>
        <v>TFC000003407</v>
      </c>
      <c r="D3639" s="3" t="str">
        <f>"F900-21-0845-(AR 4.9)"</f>
        <v>F900-21-0845-(AR 4.9)</v>
      </c>
      <c r="E3639" s="3" t="str">
        <f>"Mother Jones and Her Army of Mill Children"</f>
        <v>Mother Jones and Her Army of Mill Children</v>
      </c>
      <c r="F3639" s="3" t="str">
        <f>"words by Jonah Winter ; illustrations by Nancy Carpenter"</f>
        <v>words by Jonah Winter ; illustrations by Nancy Carpenter</v>
      </c>
      <c r="G3639" s="3" t="str">
        <f>"Schwartz &amp; Wade Books"</f>
        <v>Schwartz &amp; Wade Books</v>
      </c>
      <c r="H3639" s="2" t="str">
        <f>"2020"</f>
        <v>2020</v>
      </c>
      <c r="I3639" s="3" t="str">
        <f>""</f>
        <v/>
      </c>
    </row>
    <row r="3640" spans="1:9" x14ac:dyDescent="0.3">
      <c r="A3640" s="2">
        <v>3639</v>
      </c>
      <c r="B3640" s="4" t="s">
        <v>50</v>
      </c>
      <c r="C3640" s="3" t="str">
        <f>"TFC000003408"</f>
        <v>TFC000003408</v>
      </c>
      <c r="D3640" s="3" t="str">
        <f>"F800-21-0839-(AR 4.9)"</f>
        <v>F800-21-0839-(AR 4.9)</v>
      </c>
      <c r="E3640" s="3" t="str">
        <f>"Echo : a novel"</f>
        <v>Echo : a novel</v>
      </c>
      <c r="F3640" s="3" t="str">
        <f>"by Pam Munoz Ryan"</f>
        <v>by Pam Munoz Ryan</v>
      </c>
      <c r="G3640" s="3" t="str">
        <f>"Scholastic"</f>
        <v>Scholastic</v>
      </c>
      <c r="H3640" s="2" t="str">
        <f>"2015"</f>
        <v>2015</v>
      </c>
      <c r="I3640" s="3" t="str">
        <f>""</f>
        <v/>
      </c>
    </row>
    <row r="3641" spans="1:9" x14ac:dyDescent="0.3">
      <c r="A3641" s="2">
        <v>3640</v>
      </c>
      <c r="B3641" s="4" t="s">
        <v>50</v>
      </c>
      <c r="C3641" s="3" t="str">
        <f>"TFC000003409"</f>
        <v>TFC000003409</v>
      </c>
      <c r="D3641" s="3" t="str">
        <f>"F800-21-0840-(AR 4.9)"</f>
        <v>F800-21-0840-(AR 4.9)</v>
      </c>
      <c r="E3641" s="3" t="str">
        <f>"(The)cricket in Times Square"</f>
        <v>(The)cricket in Times Square</v>
      </c>
      <c r="F3641" s="3" t="str">
        <f>"by George Selden ; drawings by Garth Williams"</f>
        <v>by George Selden ; drawings by Garth Williams</v>
      </c>
      <c r="G3641" s="3" t="str">
        <f>"Square Fish"</f>
        <v>Square Fish</v>
      </c>
      <c r="H3641" s="2" t="str">
        <f>"2008"</f>
        <v>2008</v>
      </c>
      <c r="I3641" s="3" t="str">
        <f>""</f>
        <v/>
      </c>
    </row>
    <row r="3642" spans="1:9" x14ac:dyDescent="0.3">
      <c r="A3642" s="2">
        <v>3641</v>
      </c>
      <c r="B3642" s="4" t="s">
        <v>50</v>
      </c>
      <c r="C3642" s="3" t="str">
        <f>"TFC000003472"</f>
        <v>TFC000003472</v>
      </c>
      <c r="D3642" s="3" t="str">
        <f>"F800-21-0841-(AR 4.9)"</f>
        <v>F800-21-0841-(AR 4.9)</v>
      </c>
      <c r="E3642" s="3" t="str">
        <f>"Claude on the slopes"</f>
        <v>Claude on the slopes</v>
      </c>
      <c r="F3642" s="3" t="str">
        <f>"by Alex T. Smith"</f>
        <v>by Alex T. Smith</v>
      </c>
      <c r="G3642" s="3" t="str">
        <f>"Hodder Children's Books"</f>
        <v>Hodder Children's Books</v>
      </c>
      <c r="H3642" s="2" t="str">
        <f>"2014"</f>
        <v>2014</v>
      </c>
      <c r="I3642" s="3" t="str">
        <f>""</f>
        <v/>
      </c>
    </row>
    <row r="3643" spans="1:9" x14ac:dyDescent="0.3">
      <c r="A3643" s="2">
        <v>3642</v>
      </c>
      <c r="B3643" s="4" t="s">
        <v>50</v>
      </c>
      <c r="C3643" s="3" t="str">
        <f>"TFC000003484"</f>
        <v>TFC000003484</v>
      </c>
      <c r="D3643" s="3" t="str">
        <f>"F800-21-0842-(AR 4.9)"</f>
        <v>F800-21-0842-(AR 4.9)</v>
      </c>
      <c r="E3643" s="3" t="str">
        <f>"(The)39 clues. 2, one false note"</f>
        <v>(The)39 clues. 2, one false note</v>
      </c>
      <c r="F3643" s="3" t="str">
        <f>"by Gordon Korman"</f>
        <v>by Gordon Korman</v>
      </c>
      <c r="G3643" s="3" t="str">
        <f>"Scholastic"</f>
        <v>Scholastic</v>
      </c>
      <c r="H3643" s="2" t="str">
        <f>"[2008]"</f>
        <v>[2008]</v>
      </c>
      <c r="I3643" s="3" t="str">
        <f>""</f>
        <v/>
      </c>
    </row>
    <row r="3644" spans="1:9" x14ac:dyDescent="0.3">
      <c r="A3644" s="2">
        <v>3643</v>
      </c>
      <c r="B3644" s="4" t="s">
        <v>50</v>
      </c>
      <c r="C3644" s="3" t="str">
        <f>"TFC000003486"</f>
        <v>TFC000003486</v>
      </c>
      <c r="D3644" s="3" t="str">
        <f>"F800-21-0843-(AR 4.9)"</f>
        <v>F800-21-0843-(AR 4.9)</v>
      </c>
      <c r="E3644" s="3" t="str">
        <f>"(The)Suitcase kid"</f>
        <v>(The)Suitcase kid</v>
      </c>
      <c r="F3644" s="3" t="str">
        <f>"by Jacqueline Wilson ; illustrated by Nick Sharratt"</f>
        <v>by Jacqueline Wilson ; illustrated by Nick Sharratt</v>
      </c>
      <c r="G3644" s="3" t="str">
        <f>"Corgi Yearling"</f>
        <v>Corgi Yearling</v>
      </c>
      <c r="H3644" s="2" t="str">
        <f>"2016"</f>
        <v>2016</v>
      </c>
      <c r="I3644" s="3" t="str">
        <f>""</f>
        <v/>
      </c>
    </row>
    <row r="3645" spans="1:9" x14ac:dyDescent="0.3">
      <c r="A3645" s="2">
        <v>3644</v>
      </c>
      <c r="B3645" s="4" t="s">
        <v>50</v>
      </c>
      <c r="C3645" s="3" t="str">
        <f>"TFC000003504"</f>
        <v>TFC000003504</v>
      </c>
      <c r="D3645" s="3" t="str">
        <f>"F400-21-0838-(AR 4.9)"</f>
        <v>F400-21-0838-(AR 4.9)</v>
      </c>
      <c r="E3645" s="3" t="str">
        <f>"What if you had animal teeth?"</f>
        <v>What if you had animal teeth?</v>
      </c>
      <c r="F3645" s="3" t="str">
        <f>"by Sandra Markle ; illustrated by Howard McWilliam"</f>
        <v>by Sandra Markle ; illustrated by Howard McWilliam</v>
      </c>
      <c r="G3645" s="3" t="str">
        <f>"Scholastic Paperbacks"</f>
        <v>Scholastic Paperbacks</v>
      </c>
      <c r="H3645" s="2" t="str">
        <f>"2013"</f>
        <v>2013</v>
      </c>
      <c r="I3645" s="3" t="str">
        <f>""</f>
        <v/>
      </c>
    </row>
    <row r="3646" spans="1:9" x14ac:dyDescent="0.3">
      <c r="A3646" s="2">
        <v>3645</v>
      </c>
      <c r="B3646" s="4" t="s">
        <v>50</v>
      </c>
      <c r="C3646" s="3" t="str">
        <f>"TFC000003635"</f>
        <v>TFC000003635</v>
      </c>
      <c r="D3646" s="3" t="str">
        <f>"F800-21-0844-(AR 4.9)"</f>
        <v>F800-21-0844-(AR 4.9)</v>
      </c>
      <c r="E3646" s="3" t="str">
        <f>"Artemis Fowl : the lost colony"</f>
        <v>Artemis Fowl : the lost colony</v>
      </c>
      <c r="F3646" s="3" t="str">
        <f>"by Eoin Colfer"</f>
        <v>by Eoin Colfer</v>
      </c>
      <c r="G3646" s="3" t="str">
        <f>"Thorndike Press"</f>
        <v>Thorndike Press</v>
      </c>
      <c r="H3646" s="2" t="str">
        <f>"2020"</f>
        <v>2020</v>
      </c>
      <c r="I3646" s="3" t="str">
        <f>""</f>
        <v/>
      </c>
    </row>
    <row r="3647" spans="1:9" x14ac:dyDescent="0.3">
      <c r="A3647" s="2">
        <v>3646</v>
      </c>
      <c r="B3647" s="4" t="s">
        <v>50</v>
      </c>
      <c r="C3647" s="3" t="str">
        <f>"TFC000004305"</f>
        <v>TFC000004305</v>
      </c>
      <c r="D3647" s="3" t="str">
        <f>"F800-22-0069-(AR 4.9)"</f>
        <v>F800-22-0069-(AR 4.9)</v>
      </c>
      <c r="E3647" s="3" t="str">
        <f>"(The)Genius Under the Table : Growing Up Behind the Iron Curtain"</f>
        <v>(The)Genius Under the Table : Growing Up Behind the Iron Curtain</v>
      </c>
      <c r="F3647" s="3" t="str">
        <f>"Eugene Yelchin"</f>
        <v>Eugene Yelchin</v>
      </c>
      <c r="G3647" s="3" t="str">
        <f>"Candlewick"</f>
        <v>Candlewick</v>
      </c>
      <c r="H3647" s="2" t="str">
        <f>"2021"</f>
        <v>2021</v>
      </c>
      <c r="I3647" s="3" t="str">
        <f>""</f>
        <v/>
      </c>
    </row>
    <row r="3648" spans="1:9" x14ac:dyDescent="0.3">
      <c r="A3648" s="2">
        <v>3647</v>
      </c>
      <c r="B3648" s="4" t="s">
        <v>50</v>
      </c>
      <c r="C3648" s="3" t="str">
        <f>"TFC000004619"</f>
        <v>TFC000004619</v>
      </c>
      <c r="D3648" s="3" t="str">
        <f>"F800-22-0428-(AR4.9)"</f>
        <v>F800-22-0428-(AR4.9)</v>
      </c>
      <c r="E3648" s="3" t="str">
        <f>"(The)Snow Fell Three Graves Deep"</f>
        <v>(The)Snow Fell Three Graves Deep</v>
      </c>
      <c r="F3648" s="3" t="str">
        <f>"by Allan Wolf"</f>
        <v>by Allan Wolf</v>
      </c>
      <c r="G3648" s="3" t="str">
        <f>"Candlewick Press"</f>
        <v>Candlewick Press</v>
      </c>
      <c r="H3648" s="2" t="str">
        <f>"2020"</f>
        <v>2020</v>
      </c>
      <c r="I3648" s="3" t="str">
        <f>""</f>
        <v/>
      </c>
    </row>
    <row r="3649" spans="1:9" x14ac:dyDescent="0.3">
      <c r="A3649" s="2">
        <v>3648</v>
      </c>
      <c r="B3649" s="4" t="s">
        <v>50</v>
      </c>
      <c r="C3649" s="3" t="str">
        <f>"TFC000004618"</f>
        <v>TFC000004618</v>
      </c>
      <c r="D3649" s="3" t="str">
        <f>"F800-22-0427-(AR4.9)"</f>
        <v>F800-22-0427-(AR4.9)</v>
      </c>
      <c r="E3649" s="3" t="str">
        <f>"Revenge of the Evil Librarian"</f>
        <v>Revenge of the Evil Librarian</v>
      </c>
      <c r="F3649" s="3" t="str">
        <f>"by Michelle Knudsen"</f>
        <v>by Michelle Knudsen</v>
      </c>
      <c r="G3649" s="3" t="str">
        <f>"Candlewick Press"</f>
        <v>Candlewick Press</v>
      </c>
      <c r="H3649" s="2" t="str">
        <f>"2017"</f>
        <v>2017</v>
      </c>
      <c r="I3649" s="3" t="str">
        <f>""</f>
        <v/>
      </c>
    </row>
    <row r="3650" spans="1:9" x14ac:dyDescent="0.3">
      <c r="A3650" s="2">
        <v>3649</v>
      </c>
      <c r="B3650" s="4" t="s">
        <v>50</v>
      </c>
      <c r="C3650" s="3" t="str">
        <f>"TFC000004564"</f>
        <v>TFC000004564</v>
      </c>
      <c r="D3650" s="3" t="str">
        <f>"F800-22-0373-(AR4.9)"</f>
        <v>F800-22-0373-(AR4.9)</v>
      </c>
      <c r="E3650" s="3" t="str">
        <f>"Fabio the World's Greatest Flamingo Detective : (The)Case of the Missing Hippo"</f>
        <v>Fabio the World's Greatest Flamingo Detective : (The)Case of the Missing Hippo</v>
      </c>
      <c r="F3650" s="3" t="str">
        <f>"by Laura James"</f>
        <v>by Laura James</v>
      </c>
      <c r="G3650" s="3" t="str">
        <f>"Bloomsbury"</f>
        <v>Bloomsbury</v>
      </c>
      <c r="H3650" s="2" t="str">
        <f>"2019"</f>
        <v>2019</v>
      </c>
      <c r="I3650" s="3" t="str">
        <f>""</f>
        <v/>
      </c>
    </row>
    <row r="3651" spans="1:9" x14ac:dyDescent="0.3">
      <c r="A3651" s="2">
        <v>3650</v>
      </c>
      <c r="B3651" s="4" t="s">
        <v>50</v>
      </c>
      <c r="C3651" s="3" t="str">
        <f>"TFC000004565"</f>
        <v>TFC000004565</v>
      </c>
      <c r="D3651" s="3" t="str">
        <f>"F800-22-0374-(AR4.9)"</f>
        <v>F800-22-0374-(AR4.9)</v>
      </c>
      <c r="E3651" s="3" t="str">
        <f>"Sophie Washington : Mission:Costa Rica"</f>
        <v>Sophie Washington : Mission:Costa Rica</v>
      </c>
      <c r="F3651" s="3" t="str">
        <f>"by Tonya Duncan Ellis"</f>
        <v>by Tonya Duncan Ellis</v>
      </c>
      <c r="G3651" s="3" t="str">
        <f>"Page Turner Publishing"</f>
        <v>Page Turner Publishing</v>
      </c>
      <c r="H3651" s="2" t="str">
        <f>"2019"</f>
        <v>2019</v>
      </c>
      <c r="I3651" s="3" t="str">
        <f>""</f>
        <v/>
      </c>
    </row>
    <row r="3652" spans="1:9" x14ac:dyDescent="0.3">
      <c r="A3652" s="2">
        <v>3651</v>
      </c>
      <c r="B3652" s="4" t="s">
        <v>50</v>
      </c>
      <c r="C3652" s="3" t="str">
        <f>"TFC000004566"</f>
        <v>TFC000004566</v>
      </c>
      <c r="D3652" s="3" t="str">
        <f>"F800-22-0375-(AR4.9)"</f>
        <v>F800-22-0375-(AR4.9)</v>
      </c>
      <c r="E3652" s="3" t="str">
        <f>"Sophie Washington : Secret Santa"</f>
        <v>Sophie Washington : Secret Santa</v>
      </c>
      <c r="F3652" s="3" t="str">
        <f>"by Tonya Duncan Ellis"</f>
        <v>by Tonya Duncan Ellis</v>
      </c>
      <c r="G3652" s="3" t="str">
        <f>"Page Turner Publishing"</f>
        <v>Page Turner Publishing</v>
      </c>
      <c r="H3652" s="2" t="str">
        <f>"2019"</f>
        <v>2019</v>
      </c>
      <c r="I3652" s="3" t="str">
        <f>""</f>
        <v/>
      </c>
    </row>
    <row r="3653" spans="1:9" x14ac:dyDescent="0.3">
      <c r="A3653" s="2">
        <v>3652</v>
      </c>
      <c r="B3653" s="4" t="s">
        <v>50</v>
      </c>
      <c r="C3653" s="3" t="str">
        <f>"TFC000004567"</f>
        <v>TFC000004567</v>
      </c>
      <c r="D3653" s="3" t="str">
        <f>"F800-22-0376-(AR4.9)"</f>
        <v>F800-22-0376-(AR4.9)</v>
      </c>
      <c r="E3653" s="3" t="str">
        <f>"Tuesday : (The)Curse of the Blue Spots"</f>
        <v>Tuesday : (The)Curse of the Blue Spots</v>
      </c>
      <c r="F3653" s="3" t="str">
        <f>"by Ralph Lazar, illustrated by Lisa Swerling"</f>
        <v>by Ralph Lazar, illustrated by Lisa Swerling</v>
      </c>
      <c r="G3653" s="3" t="str">
        <f>"Scholastic"</f>
        <v>Scholastic</v>
      </c>
      <c r="H3653" s="2" t="str">
        <f>"2021"</f>
        <v>2021</v>
      </c>
      <c r="I3653" s="3" t="str">
        <f>""</f>
        <v/>
      </c>
    </row>
    <row r="3654" spans="1:9" x14ac:dyDescent="0.3">
      <c r="A3654" s="2">
        <v>3653</v>
      </c>
      <c r="B3654" s="4">
        <v>4.9000000000000004</v>
      </c>
      <c r="C3654" s="3" t="str">
        <f>"TFC000003100"</f>
        <v>TFC000003100</v>
      </c>
      <c r="D3654" s="3" t="str">
        <f>"F800-20-2690-11(AR 4.9)"</f>
        <v>F800-20-2690-11(AR 4.9)</v>
      </c>
      <c r="E3654" s="3" t="str">
        <f>"Dork diaries. 11, tales from a not-so-friendly frenemy"</f>
        <v>Dork diaries. 11, tales from a not-so-friendly frenemy</v>
      </c>
      <c r="F3654" s="3" t="str">
        <f>"Rachel Renee Russell, Nikki Russell, Erin Russell"</f>
        <v>Rachel Renee Russell, Nikki Russell, Erin Russell</v>
      </c>
      <c r="G3654" s="3" t="str">
        <f>"Aladdin"</f>
        <v>Aladdin</v>
      </c>
      <c r="H3654" s="2" t="str">
        <f>"2016"</f>
        <v>2016</v>
      </c>
      <c r="I3654" s="3" t="str">
        <f>""</f>
        <v/>
      </c>
    </row>
    <row r="3655" spans="1:9" x14ac:dyDescent="0.3">
      <c r="A3655" s="2">
        <v>3654</v>
      </c>
      <c r="B3655" s="4">
        <v>4.9000000000000004</v>
      </c>
      <c r="C3655" s="3" t="str">
        <f>"TFC000004735"</f>
        <v>TFC000004735</v>
      </c>
      <c r="D3655" s="3" t="str">
        <f>"F800-22-0524-11(AR 4.9)"</f>
        <v>F800-22-0524-11(AR 4.9)</v>
      </c>
      <c r="E3655" s="3" t="str">
        <f>"Dork diaries. 11, Frenemies forever"</f>
        <v>Dork diaries. 11, Frenemies forever</v>
      </c>
      <c r="F3655" s="3" t="str">
        <f>"by Rachel Renee Russell"</f>
        <v>by Rachel Renee Russell</v>
      </c>
      <c r="G3655" s="3" t="str">
        <f>"Simon &amp; Schuster"</f>
        <v>Simon &amp; Schuster</v>
      </c>
      <c r="H3655" s="2" t="str">
        <f>"2017"</f>
        <v>2017</v>
      </c>
      <c r="I3655" s="3" t="str">
        <f>""</f>
        <v/>
      </c>
    </row>
    <row r="3656" spans="1:9" x14ac:dyDescent="0.3">
      <c r="A3656" s="2">
        <v>3655</v>
      </c>
      <c r="B3656" s="4" t="s">
        <v>50</v>
      </c>
      <c r="C3656" s="3" t="str">
        <f>"TFC000004733"</f>
        <v>TFC000004733</v>
      </c>
      <c r="D3656" s="3" t="str">
        <f>"F800-22-0524-9(AR 4.9)"</f>
        <v>F800-22-0524-9(AR 4.9)</v>
      </c>
      <c r="E3656" s="3" t="str">
        <f>"Dork diaries. 9, Drama queen"</f>
        <v>Dork diaries. 9, Drama queen</v>
      </c>
      <c r="F3656" s="3" t="str">
        <f>"by Rachel Renee Russell"</f>
        <v>by Rachel Renee Russell</v>
      </c>
      <c r="G3656" s="3" t="str">
        <f>"Simon &amp; Schuster"</f>
        <v>Simon &amp; Schuster</v>
      </c>
      <c r="H3656" s="2" t="str">
        <f>"2016"</f>
        <v>2016</v>
      </c>
      <c r="I3656" s="3" t="str">
        <f>""</f>
        <v/>
      </c>
    </row>
    <row r="3657" spans="1:9" x14ac:dyDescent="0.3">
      <c r="A3657" s="2">
        <v>3656</v>
      </c>
      <c r="B3657" s="4" t="s">
        <v>51</v>
      </c>
      <c r="C3657" s="3" t="str">
        <f>"TFC000003668"</f>
        <v>TFC000003668</v>
      </c>
      <c r="D3657" s="3" t="str">
        <f>"F800-21-0852-(AR 5.0)"</f>
        <v>F800-21-0852-(AR 5.0)</v>
      </c>
      <c r="E3657" s="3" t="str">
        <f>"(The)dragonet prophecy. 1"</f>
        <v>(The)dragonet prophecy. 1</v>
      </c>
      <c r="F3657" s="3" t="str">
        <f>"by Tui T. Sutherland"</f>
        <v>by Tui T. Sutherland</v>
      </c>
      <c r="G3657" s="3" t="str">
        <f>"Scholastic"</f>
        <v>Scholastic</v>
      </c>
      <c r="H3657" s="2" t="str">
        <f>"2012"</f>
        <v>2012</v>
      </c>
      <c r="I3657" s="3" t="str">
        <f>""</f>
        <v/>
      </c>
    </row>
    <row r="3658" spans="1:9" x14ac:dyDescent="0.3">
      <c r="A3658" s="2">
        <v>3657</v>
      </c>
      <c r="B3658" s="4" t="s">
        <v>51</v>
      </c>
      <c r="C3658" s="3" t="str">
        <f>"TFC000002404"</f>
        <v>TFC000002404</v>
      </c>
      <c r="D3658" s="3" t="str">
        <f>"F300-20-2705-(AR 5.0)"</f>
        <v>F300-20-2705-(AR 5.0)</v>
      </c>
      <c r="E3658" s="3" t="str">
        <f>"(The)distance between us : young readers edition"</f>
        <v>(The)distance between us : young readers edition</v>
      </c>
      <c r="F3658" s="3" t="str">
        <f>"by Reyna Grande"</f>
        <v>by Reyna Grande</v>
      </c>
      <c r="G3658" s="3" t="str">
        <f>"Aladdin"</f>
        <v>Aladdin</v>
      </c>
      <c r="H3658" s="2" t="str">
        <f>"2017"</f>
        <v>2017</v>
      </c>
      <c r="I3658" s="3" t="str">
        <f>""</f>
        <v/>
      </c>
    </row>
    <row r="3659" spans="1:9" x14ac:dyDescent="0.3">
      <c r="A3659" s="2">
        <v>3658</v>
      </c>
      <c r="B3659" s="4" t="s">
        <v>51</v>
      </c>
      <c r="C3659" s="3" t="str">
        <f>"TFC000002405"</f>
        <v>TFC000002405</v>
      </c>
      <c r="D3659" s="3" t="str">
        <f>"F400-20-2706-(AR 5.0)"</f>
        <v>F400-20-2706-(AR 5.0)</v>
      </c>
      <c r="E3659" s="3" t="str">
        <f>"Dinosaurs : dinosaurs before dark"</f>
        <v>Dinosaurs : dinosaurs before dark</v>
      </c>
      <c r="F3659" s="3" t="str">
        <f>"by Will Osborne, Mary Pope Osborne ; illustrated by Sal Murdocca"</f>
        <v>by Will Osborne, Mary Pope Osborne ; illustrated by Sal Murdocca</v>
      </c>
      <c r="G3659" s="3" t="str">
        <f>"Random House"</f>
        <v>Random House</v>
      </c>
      <c r="H3659" s="2" t="str">
        <f>"2011"</f>
        <v>2011</v>
      </c>
      <c r="I3659" s="3" t="str">
        <f>""</f>
        <v/>
      </c>
    </row>
    <row r="3660" spans="1:9" x14ac:dyDescent="0.3">
      <c r="A3660" s="2">
        <v>3659</v>
      </c>
      <c r="B3660" s="4" t="s">
        <v>51</v>
      </c>
      <c r="C3660" s="3" t="str">
        <f>"TFC000002406"</f>
        <v>TFC000002406</v>
      </c>
      <c r="D3660" s="3" t="str">
        <f>"F400-20-2707-(AR 5.0)"</f>
        <v>F400-20-2707-(AR 5.0)</v>
      </c>
      <c r="E3660" s="3" t="str">
        <f>"Animals nobody loves"</f>
        <v>Animals nobody loves</v>
      </c>
      <c r="F3660" s="3" t="str">
        <f>"Seymour Simon"</f>
        <v>Seymour Simon</v>
      </c>
      <c r="G3660" s="3" t="str">
        <f>"SeaStar Books"</f>
        <v>SeaStar Books</v>
      </c>
      <c r="H3660" s="2" t="str">
        <f>"2001"</f>
        <v>2001</v>
      </c>
      <c r="I3660" s="3" t="str">
        <f>""</f>
        <v/>
      </c>
    </row>
    <row r="3661" spans="1:9" x14ac:dyDescent="0.3">
      <c r="A3661" s="2">
        <v>3660</v>
      </c>
      <c r="B3661" s="4" t="s">
        <v>51</v>
      </c>
      <c r="C3661" s="3" t="str">
        <f>"TFC000002407"</f>
        <v>TFC000002407</v>
      </c>
      <c r="D3661" s="3" t="str">
        <f>"F800-20-2708-(AR 5.0)"</f>
        <v>F800-20-2708-(AR 5.0)</v>
      </c>
      <c r="E3661" s="3" t="str">
        <f>"(The)watsons go to Birmingham 1963"</f>
        <v>(The)watsons go to Birmingham 1963</v>
      </c>
      <c r="F3661" s="3" t="str">
        <f>"Christopher Paul Curtis"</f>
        <v>Christopher Paul Curtis</v>
      </c>
      <c r="G3661" s="3" t="str">
        <f>"A Yearling Book"</f>
        <v>A Yearling Book</v>
      </c>
      <c r="H3661" s="2" t="str">
        <f>"2013"</f>
        <v>2013</v>
      </c>
      <c r="I3661" s="3" t="str">
        <f>""</f>
        <v/>
      </c>
    </row>
    <row r="3662" spans="1:9" x14ac:dyDescent="0.3">
      <c r="A3662" s="2">
        <v>3661</v>
      </c>
      <c r="B3662" s="4" t="s">
        <v>51</v>
      </c>
      <c r="C3662" s="3" t="str">
        <f>"TFC000002408"</f>
        <v>TFC000002408</v>
      </c>
      <c r="D3662" s="3" t="str">
        <f>"F800-20-2709-(AR 5.0)"</f>
        <v>F800-20-2709-(AR 5.0)</v>
      </c>
      <c r="E3662" s="3" t="str">
        <f>"Matilda"</f>
        <v>Matilda</v>
      </c>
      <c r="F3662" s="3" t="str">
        <f>"Roald Dahl ; illustrated by Quentin Blake"</f>
        <v>Roald Dahl ; illustrated by Quentin Blake</v>
      </c>
      <c r="G3662" s="3" t="str">
        <f>"Puffin Books"</f>
        <v>Puffin Books</v>
      </c>
      <c r="H3662" s="2" t="str">
        <f>"2013"</f>
        <v>2013</v>
      </c>
      <c r="I3662" s="3" t="str">
        <f>""</f>
        <v/>
      </c>
    </row>
    <row r="3663" spans="1:9" x14ac:dyDescent="0.3">
      <c r="A3663" s="2">
        <v>3662</v>
      </c>
      <c r="B3663" s="4" t="s">
        <v>51</v>
      </c>
      <c r="C3663" s="3" t="str">
        <f>"TFC000002409"</f>
        <v>TFC000002409</v>
      </c>
      <c r="D3663" s="3" t="str">
        <f>"F800-20-2710-(AR 5.0)"</f>
        <v>F800-20-2710-(AR 5.0)</v>
      </c>
      <c r="E3663" s="3" t="str">
        <f>"(A)long way from Chicago"</f>
        <v>(A)long way from Chicago</v>
      </c>
      <c r="F3663" s="3" t="str">
        <f>"Richard Peck"</f>
        <v>Richard Peck</v>
      </c>
      <c r="G3663" s="3" t="str">
        <f>"Puffin Books"</f>
        <v>Puffin Books</v>
      </c>
      <c r="H3663" s="2" t="str">
        <f>"2004"</f>
        <v>2004</v>
      </c>
      <c r="I3663" s="3" t="str">
        <f>""</f>
        <v/>
      </c>
    </row>
    <row r="3664" spans="1:9" x14ac:dyDescent="0.3">
      <c r="A3664" s="2">
        <v>3663</v>
      </c>
      <c r="B3664" s="4" t="s">
        <v>51</v>
      </c>
      <c r="C3664" s="3" t="str">
        <f>"TFC000002411"</f>
        <v>TFC000002411</v>
      </c>
      <c r="D3664" s="3" t="str">
        <f>"F800-20-2712-(AR 5.0)"</f>
        <v>F800-20-2712-(AR 5.0)</v>
      </c>
      <c r="E3664" s="3" t="str">
        <f>"(A)jar of dreams"</f>
        <v>(A)jar of dreams</v>
      </c>
      <c r="F3664" s="3" t="str">
        <f>"Yoshiko Uchida"</f>
        <v>Yoshiko Uchida</v>
      </c>
      <c r="G3664" s="3" t="str">
        <f>"Aladdin Paperbacks"</f>
        <v>Aladdin Paperbacks</v>
      </c>
      <c r="H3664" s="2" t="str">
        <f>"1993"</f>
        <v>1993</v>
      </c>
      <c r="I3664" s="3" t="str">
        <f>""</f>
        <v/>
      </c>
    </row>
    <row r="3665" spans="1:9" x14ac:dyDescent="0.3">
      <c r="A3665" s="2">
        <v>3664</v>
      </c>
      <c r="B3665" s="4" t="s">
        <v>51</v>
      </c>
      <c r="C3665" s="3" t="str">
        <f>"TFC000002412"</f>
        <v>TFC000002412</v>
      </c>
      <c r="D3665" s="3" t="str">
        <f>"F800-20-2713-(AR 5.0)"</f>
        <v>F800-20-2713-(AR 5.0)</v>
      </c>
      <c r="E3665" s="3" t="str">
        <f>"George Washington's socks : a time travel adventure"</f>
        <v>George Washington's socks : a time travel adventure</v>
      </c>
      <c r="F3665" s="3" t="str">
        <f>"Elvira Woodruff"</f>
        <v>Elvira Woodruff</v>
      </c>
      <c r="G3665" s="3" t="str">
        <f>"Scholastic"</f>
        <v>Scholastic</v>
      </c>
      <c r="H3665" s="2" t="str">
        <f>"2010"</f>
        <v>2010</v>
      </c>
      <c r="I3665" s="3" t="str">
        <f>""</f>
        <v/>
      </c>
    </row>
    <row r="3666" spans="1:9" x14ac:dyDescent="0.3">
      <c r="A3666" s="2">
        <v>3665</v>
      </c>
      <c r="B3666" s="4" t="s">
        <v>51</v>
      </c>
      <c r="C3666" s="3" t="str">
        <f>"TFC000002413"</f>
        <v>TFC000002413</v>
      </c>
      <c r="D3666" s="3" t="str">
        <f>"F800-20-2714-(AR 5.0)"</f>
        <v>F800-20-2714-(AR 5.0)</v>
      </c>
      <c r="E3666" s="3" t="str">
        <f>"Franny K. Stein mad scientist. 1, Lunch walks among us"</f>
        <v>Franny K. Stein mad scientist. 1, Lunch walks among us</v>
      </c>
      <c r="F3666" s="3" t="str">
        <f>"by Jim Benton"</f>
        <v>by Jim Benton</v>
      </c>
      <c r="G3666" s="3" t="str">
        <f>"Simon &amp; Schuster"</f>
        <v>Simon &amp; Schuster</v>
      </c>
      <c r="H3666" s="2" t="str">
        <f>"2003"</f>
        <v>2003</v>
      </c>
      <c r="I3666" s="3" t="str">
        <f>""</f>
        <v/>
      </c>
    </row>
    <row r="3667" spans="1:9" x14ac:dyDescent="0.3">
      <c r="A3667" s="2">
        <v>3666</v>
      </c>
      <c r="B3667" s="4" t="s">
        <v>51</v>
      </c>
      <c r="C3667" s="3" t="str">
        <f>"TFC000002415"</f>
        <v>TFC000002415</v>
      </c>
      <c r="D3667" s="3" t="str">
        <f>"F800-20-2716-(AR 5.0)"</f>
        <v>F800-20-2716-(AR 5.0)</v>
      </c>
      <c r="E3667" s="3" t="str">
        <f>"No talking"</f>
        <v>No talking</v>
      </c>
      <c r="F3667" s="3" t="str">
        <f>"Andrew Clements ; illustrations by Mark Elliott"</f>
        <v>Andrew Clements ; illustrations by Mark Elliott</v>
      </c>
      <c r="G3667" s="3" t="str">
        <f>"Atheneum Books for Young Readers"</f>
        <v>Atheneum Books for Young Readers</v>
      </c>
      <c r="H3667" s="2" t="str">
        <f>"2009"</f>
        <v>2009</v>
      </c>
      <c r="I3667" s="3" t="str">
        <f>""</f>
        <v/>
      </c>
    </row>
    <row r="3668" spans="1:9" x14ac:dyDescent="0.3">
      <c r="A3668" s="2">
        <v>3667</v>
      </c>
      <c r="B3668" s="4" t="s">
        <v>51</v>
      </c>
      <c r="C3668" s="3" t="str">
        <f>"TFC000002416"</f>
        <v>TFC000002416</v>
      </c>
      <c r="D3668" s="3" t="str">
        <f>"F800-20-2717-(AR 5.0)"</f>
        <v>F800-20-2717-(AR 5.0)</v>
      </c>
      <c r="E3668" s="3" t="str">
        <f>"Artemis fowl"</f>
        <v>Artemis fowl</v>
      </c>
      <c r="F3668" s="3" t="str">
        <f>"Eoin Colfer"</f>
        <v>Eoin Colfer</v>
      </c>
      <c r="G3668" s="3" t="str">
        <f>"Puffin"</f>
        <v>Puffin</v>
      </c>
      <c r="H3668" s="2" t="str">
        <f>"2019"</f>
        <v>2019</v>
      </c>
      <c r="I3668" s="3" t="str">
        <f>""</f>
        <v/>
      </c>
    </row>
    <row r="3669" spans="1:9" x14ac:dyDescent="0.3">
      <c r="A3669" s="2">
        <v>3668</v>
      </c>
      <c r="B3669" s="4" t="s">
        <v>51</v>
      </c>
      <c r="C3669" s="3" t="str">
        <f>"TFC000002418"</f>
        <v>TFC000002418</v>
      </c>
      <c r="D3669" s="3" t="str">
        <f>"F800-20-2719-(AR 5.0)"</f>
        <v>F800-20-2719-(AR 5.0)</v>
      </c>
      <c r="E3669" s="3" t="str">
        <f>"Gregor and the marks of secret"</f>
        <v>Gregor and the marks of secret</v>
      </c>
      <c r="F3669" s="3" t="str">
        <f>"Suzanne Collins"</f>
        <v>Suzanne Collins</v>
      </c>
      <c r="G3669" s="3" t="str">
        <f>"Scholastic"</f>
        <v>Scholastic</v>
      </c>
      <c r="H3669" s="2" t="str">
        <f>"2013"</f>
        <v>2013</v>
      </c>
      <c r="I3669" s="3" t="str">
        <f>""</f>
        <v/>
      </c>
    </row>
    <row r="3670" spans="1:9" x14ac:dyDescent="0.3">
      <c r="A3670" s="2">
        <v>3669</v>
      </c>
      <c r="B3670" s="4" t="s">
        <v>51</v>
      </c>
      <c r="C3670" s="3" t="str">
        <f>"TFC000002419"</f>
        <v>TFC000002419</v>
      </c>
      <c r="D3670" s="3" t="str">
        <f>"F800-20-2720-(AR 5.0)"</f>
        <v>F800-20-2720-(AR 5.0)</v>
      </c>
      <c r="E3670" s="3" t="str">
        <f>"Gregor and the code of claw"</f>
        <v>Gregor and the code of claw</v>
      </c>
      <c r="F3670" s="3" t="str">
        <f>"Suzanne Collins"</f>
        <v>Suzanne Collins</v>
      </c>
      <c r="G3670" s="3" t="str">
        <f>"Scholastic"</f>
        <v>Scholastic</v>
      </c>
      <c r="H3670" s="2" t="str">
        <f>"2013"</f>
        <v>2013</v>
      </c>
      <c r="I3670" s="3" t="str">
        <f>""</f>
        <v/>
      </c>
    </row>
    <row r="3671" spans="1:9" x14ac:dyDescent="0.3">
      <c r="A3671" s="2">
        <v>3670</v>
      </c>
      <c r="B3671" s="4" t="s">
        <v>51</v>
      </c>
      <c r="C3671" s="3" t="str">
        <f>"TFC000002420"</f>
        <v>TFC000002420</v>
      </c>
      <c r="D3671" s="3" t="str">
        <f>"F800-20-2721-(AR 5.0)"</f>
        <v>F800-20-2721-(AR 5.0)</v>
      </c>
      <c r="E3671" s="3" t="str">
        <f>"Bud, not buddy"</f>
        <v>Bud, not buddy</v>
      </c>
      <c r="F3671" s="3" t="str">
        <f>"Christopher Paul Curtis"</f>
        <v>Christopher Paul Curtis</v>
      </c>
      <c r="G3671" s="3" t="str">
        <f>"Yearling Book"</f>
        <v>Yearling Book</v>
      </c>
      <c r="H3671" s="2" t="str">
        <f>"2002"</f>
        <v>2002</v>
      </c>
      <c r="I3671" s="3" t="str">
        <f>""</f>
        <v/>
      </c>
    </row>
    <row r="3672" spans="1:9" x14ac:dyDescent="0.3">
      <c r="A3672" s="2">
        <v>3671</v>
      </c>
      <c r="B3672" s="4" t="s">
        <v>51</v>
      </c>
      <c r="C3672" s="3" t="str">
        <f>"TFC000002422"</f>
        <v>TFC000002422</v>
      </c>
      <c r="D3672" s="3" t="str">
        <f>"F800-20-2723-(AR 5.0)"</f>
        <v>F800-20-2723-(AR 5.0)</v>
      </c>
      <c r="E3672" s="3" t="str">
        <f>"Old Yeller"</f>
        <v>Old Yeller</v>
      </c>
      <c r="F3672" s="3" t="str">
        <f>"Fred Gipson"</f>
        <v>Fred Gipson</v>
      </c>
      <c r="G3672" s="3" t="str">
        <f>"HarperTrophy"</f>
        <v>HarperTrophy</v>
      </c>
      <c r="H3672" s="2" t="str">
        <f>"2004"</f>
        <v>2004</v>
      </c>
      <c r="I3672" s="3" t="str">
        <f>""</f>
        <v/>
      </c>
    </row>
    <row r="3673" spans="1:9" x14ac:dyDescent="0.3">
      <c r="A3673" s="2">
        <v>3672</v>
      </c>
      <c r="B3673" s="4" t="s">
        <v>51</v>
      </c>
      <c r="C3673" s="3" t="str">
        <f>"TFC000002423"</f>
        <v>TFC000002423</v>
      </c>
      <c r="D3673" s="3" t="str">
        <f>"F800-20-2724-(AR 5.0)"</f>
        <v>F800-20-2724-(AR 5.0)</v>
      </c>
      <c r="E3673" s="3" t="str">
        <f>"Swamp angel"</f>
        <v>Swamp angel</v>
      </c>
      <c r="F3673" s="3" t="str">
        <f>"by Anne Isaacs ; illustrated by Paul O. Zelinsky"</f>
        <v>by Anne Isaacs ; illustrated by Paul O. Zelinsky</v>
      </c>
      <c r="G3673" s="3" t="str">
        <f>"Puffin Books"</f>
        <v>Puffin Books</v>
      </c>
      <c r="H3673" s="2" t="str">
        <f>"1994"</f>
        <v>1994</v>
      </c>
      <c r="I3673" s="3" t="str">
        <f>""</f>
        <v/>
      </c>
    </row>
    <row r="3674" spans="1:9" x14ac:dyDescent="0.3">
      <c r="A3674" s="2">
        <v>3673</v>
      </c>
      <c r="B3674" s="4" t="s">
        <v>51</v>
      </c>
      <c r="C3674" s="3" t="str">
        <f>"TFC000002424"</f>
        <v>TFC000002424</v>
      </c>
      <c r="D3674" s="3" t="str">
        <f>"F800-20-2725-(AR 5.0)"</f>
        <v>F800-20-2725-(AR 5.0)</v>
      </c>
      <c r="E3674" s="3" t="str">
        <f>"Afternoon of the elves"</f>
        <v>Afternoon of the elves</v>
      </c>
      <c r="F3674" s="3" t="str">
        <f>"Janet Taylor Lisle"</f>
        <v>Janet Taylor Lisle</v>
      </c>
      <c r="G3674" s="3" t="str">
        <f>"Atheneum Books for Young Readers"</f>
        <v>Atheneum Books for Young Readers</v>
      </c>
      <c r="H3674" s="2" t="str">
        <f>"2017"</f>
        <v>2017</v>
      </c>
      <c r="I3674" s="3" t="str">
        <f>""</f>
        <v/>
      </c>
    </row>
    <row r="3675" spans="1:9" x14ac:dyDescent="0.3">
      <c r="A3675" s="2">
        <v>3674</v>
      </c>
      <c r="B3675" s="4" t="s">
        <v>51</v>
      </c>
      <c r="C3675" s="3" t="str">
        <f>"TFC000002427"</f>
        <v>TFC000002427</v>
      </c>
      <c r="D3675" s="3" t="str">
        <f>"F800-20-2728-(AR 5.0)"</f>
        <v>F800-20-2728-(AR 5.0)</v>
      </c>
      <c r="E3675" s="3" t="str">
        <f>"(A)long walk to water : based on a true story"</f>
        <v>(A)long walk to water : based on a true story</v>
      </c>
      <c r="F3675" s="3" t="str">
        <f>"a novel by Linda Sue Park"</f>
        <v>a novel by Linda Sue Park</v>
      </c>
      <c r="G3675" s="3" t="str">
        <f>"Houghton Mifflin Harcourt"</f>
        <v>Houghton Mifflin Harcourt</v>
      </c>
      <c r="H3675" s="2" t="str">
        <f>"2010"</f>
        <v>2010</v>
      </c>
      <c r="I3675" s="3" t="str">
        <f>""</f>
        <v/>
      </c>
    </row>
    <row r="3676" spans="1:9" x14ac:dyDescent="0.3">
      <c r="A3676" s="2">
        <v>3675</v>
      </c>
      <c r="B3676" s="4" t="s">
        <v>51</v>
      </c>
      <c r="C3676" s="3" t="str">
        <f>"TFC000002428"</f>
        <v>TFC000002428</v>
      </c>
      <c r="D3676" s="3" t="str">
        <f>"F900-20-2731-(AR 5.0)"</f>
        <v>F900-20-2731-(AR 5.0)</v>
      </c>
      <c r="E3676" s="3" t="str">
        <f>"What was the first Thanksgiving?"</f>
        <v>What was the first Thanksgiving?</v>
      </c>
      <c r="F3676" s="3" t="str">
        <f>"by Joan Holub ; illustrated by Lauren Mortimer"</f>
        <v>by Joan Holub ; illustrated by Lauren Mortimer</v>
      </c>
      <c r="G3676" s="3" t="str">
        <f>"Penguin Workshop"</f>
        <v>Penguin Workshop</v>
      </c>
      <c r="H3676" s="2" t="str">
        <f>"2013"</f>
        <v>2013</v>
      </c>
      <c r="I3676" s="3" t="str">
        <f>""</f>
        <v/>
      </c>
    </row>
    <row r="3677" spans="1:9" x14ac:dyDescent="0.3">
      <c r="A3677" s="2">
        <v>3676</v>
      </c>
      <c r="B3677" s="4" t="s">
        <v>51</v>
      </c>
      <c r="C3677" s="3" t="str">
        <f>"TFC000002429"</f>
        <v>TFC000002429</v>
      </c>
      <c r="D3677" s="3" t="str">
        <f>"F900-20-2732-(AR 5.0)"</f>
        <v>F900-20-2732-(AR 5.0)</v>
      </c>
      <c r="E3677" s="3" t="str">
        <f>"What was the Underground Railroad?"</f>
        <v>What was the Underground Railroad?</v>
      </c>
      <c r="F3677" s="3" t="str">
        <f>"by Yona Zeldis McDonough ; illustrated by Lauren Mortimer"</f>
        <v>by Yona Zeldis McDonough ; illustrated by Lauren Mortimer</v>
      </c>
      <c r="G3677" s="3" t="str">
        <f>"Penguin Workshop"</f>
        <v>Penguin Workshop</v>
      </c>
      <c r="H3677" s="2" t="str">
        <f>"2013"</f>
        <v>2013</v>
      </c>
      <c r="I3677" s="3" t="str">
        <f>""</f>
        <v/>
      </c>
    </row>
    <row r="3678" spans="1:9" x14ac:dyDescent="0.3">
      <c r="A3678" s="2">
        <v>3677</v>
      </c>
      <c r="B3678" s="4" t="s">
        <v>51</v>
      </c>
      <c r="C3678" s="3" t="str">
        <f>"TFC000002430"</f>
        <v>TFC000002430</v>
      </c>
      <c r="D3678" s="3" t="str">
        <f>"F900-20-2733-(AR 5.0)"</f>
        <v>F900-20-2733-(AR 5.0)</v>
      </c>
      <c r="E3678" s="3" t="str">
        <f>"Who was Jesus?"</f>
        <v>Who was Jesus?</v>
      </c>
      <c r="F3678" s="3" t="str">
        <f>"by Ellen Morgan ; illustrated by Stephen Marchesi"</f>
        <v>by Ellen Morgan ; illustrated by Stephen Marchesi</v>
      </c>
      <c r="G3678" s="3" t="str">
        <f>"Penguin Workshop"</f>
        <v>Penguin Workshop</v>
      </c>
      <c r="H3678" s="2" t="str">
        <f>"2010"</f>
        <v>2010</v>
      </c>
      <c r="I3678" s="3" t="str">
        <f>""</f>
        <v/>
      </c>
    </row>
    <row r="3679" spans="1:9" x14ac:dyDescent="0.3">
      <c r="A3679" s="2">
        <v>3678</v>
      </c>
      <c r="B3679" s="4" t="s">
        <v>51</v>
      </c>
      <c r="C3679" s="3" t="str">
        <f>"TFC000002431"</f>
        <v>TFC000002431</v>
      </c>
      <c r="D3679" s="3" t="str">
        <f>"F900-20-2734-(AR 5.0)"</f>
        <v>F900-20-2734-(AR 5.0)</v>
      </c>
      <c r="E3679" s="3" t="str">
        <f>"Who was Steve Jobs?"</f>
        <v>Who was Steve Jobs?</v>
      </c>
      <c r="F3679" s="3" t="str">
        <f>"by Pam Pollack, Meg Belviso ; illustrated by John O'Brien"</f>
        <v>by Pam Pollack, Meg Belviso ; illustrated by John O'Brien</v>
      </c>
      <c r="G3679" s="3" t="str">
        <f>"Grosset &amp; Dunlap"</f>
        <v>Grosset &amp; Dunlap</v>
      </c>
      <c r="H3679" s="2" t="str">
        <f>"2012"</f>
        <v>2012</v>
      </c>
      <c r="I3679" s="3" t="str">
        <f>""</f>
        <v/>
      </c>
    </row>
    <row r="3680" spans="1:9" x14ac:dyDescent="0.3">
      <c r="A3680" s="2">
        <v>3679</v>
      </c>
      <c r="B3680" s="4" t="s">
        <v>51</v>
      </c>
      <c r="C3680" s="3" t="str">
        <f>"TFC000002432"</f>
        <v>TFC000002432</v>
      </c>
      <c r="D3680" s="3" t="str">
        <f>"F900-20-2735-(AR 5.0)"</f>
        <v>F900-20-2735-(AR 5.0)</v>
      </c>
      <c r="E3680" s="3" t="str">
        <f>"Who was George Washington?"</f>
        <v>Who was George Washington?</v>
      </c>
      <c r="F3680" s="3" t="str">
        <f>"by Roberta Edwards ; illustrated by True Kelley"</f>
        <v>by Roberta Edwards ; illustrated by True Kelley</v>
      </c>
      <c r="G3680" s="3" t="str">
        <f>"Grosset &amp; Dunlap"</f>
        <v>Grosset &amp; Dunlap</v>
      </c>
      <c r="H3680" s="2" t="str">
        <f>"2009"</f>
        <v>2009</v>
      </c>
      <c r="I3680" s="3" t="str">
        <f>""</f>
        <v/>
      </c>
    </row>
    <row r="3681" spans="1:9" x14ac:dyDescent="0.3">
      <c r="A3681" s="2">
        <v>3680</v>
      </c>
      <c r="B3681" s="4" t="s">
        <v>51</v>
      </c>
      <c r="C3681" s="3" t="str">
        <f>"TFC000002433"</f>
        <v>TFC000002433</v>
      </c>
      <c r="D3681" s="3" t="str">
        <f>"F900-20-2736-(AR 5.0)"</f>
        <v>F900-20-2736-(AR 5.0)</v>
      </c>
      <c r="E3681" s="3" t="str">
        <f>"Who was Franklin Roosevelt?"</f>
        <v>Who was Franklin Roosevelt?</v>
      </c>
      <c r="F3681" s="3" t="str">
        <f>"by Margaret Frith ; illustrated by John O'Brien"</f>
        <v>by Margaret Frith ; illustrated by John O'Brien</v>
      </c>
      <c r="G3681" s="3" t="str">
        <f>"Grosset &amp; Dunlap"</f>
        <v>Grosset &amp; Dunlap</v>
      </c>
      <c r="H3681" s="2" t="str">
        <f>"2010"</f>
        <v>2010</v>
      </c>
      <c r="I3681" s="3" t="str">
        <f>""</f>
        <v/>
      </c>
    </row>
    <row r="3682" spans="1:9" x14ac:dyDescent="0.3">
      <c r="A3682" s="2">
        <v>3681</v>
      </c>
      <c r="B3682" s="4" t="s">
        <v>51</v>
      </c>
      <c r="C3682" s="3" t="str">
        <f>"TFC000002434"</f>
        <v>TFC000002434</v>
      </c>
      <c r="D3682" s="3" t="str">
        <f>"F900-20-2737-(AR 5.0)"</f>
        <v>F900-20-2737-(AR 5.0)</v>
      </c>
      <c r="E3682" s="3" t="str">
        <f>"Five brilliant scientists"</f>
        <v>Five brilliant scientists</v>
      </c>
      <c r="F3682" s="3" t="str">
        <f>"by Lynda Jones ; illustrated by Ron Garnett"</f>
        <v>by Lynda Jones ; illustrated by Ron Garnett</v>
      </c>
      <c r="G3682" s="3" t="str">
        <f>"Scholastic"</f>
        <v>Scholastic</v>
      </c>
      <c r="H3682" s="2" t="str">
        <f>"2003"</f>
        <v>2003</v>
      </c>
      <c r="I3682" s="3" t="str">
        <f>""</f>
        <v/>
      </c>
    </row>
    <row r="3683" spans="1:9" x14ac:dyDescent="0.3">
      <c r="A3683" s="2">
        <v>3682</v>
      </c>
      <c r="B3683" s="4" t="s">
        <v>51</v>
      </c>
      <c r="C3683" s="3" t="str">
        <f>"TFC000002435"</f>
        <v>TFC000002435</v>
      </c>
      <c r="D3683" s="3" t="str">
        <f>"F900-20-2738-(AR 5.0)"</f>
        <v>F900-20-2738-(AR 5.0)</v>
      </c>
      <c r="E3683" s="3" t="str">
        <f>"Frida Kahlo"</f>
        <v>Frida Kahlo</v>
      </c>
      <c r="F3683" s="3" t="str">
        <f>"written and illustrated by Mike Venezia"</f>
        <v>written and illustrated by Mike Venezia</v>
      </c>
      <c r="G3683" s="3" t="str">
        <f>"Children's Press"</f>
        <v>Children's Press</v>
      </c>
      <c r="H3683" s="2" t="str">
        <f>"2016"</f>
        <v>2016</v>
      </c>
      <c r="I3683" s="3" t="str">
        <f>""</f>
        <v/>
      </c>
    </row>
    <row r="3684" spans="1:9" x14ac:dyDescent="0.3">
      <c r="A3684" s="2">
        <v>3683</v>
      </c>
      <c r="B3684" s="4" t="s">
        <v>51</v>
      </c>
      <c r="C3684" s="3" t="str">
        <f>"TFC000002436"</f>
        <v>TFC000002436</v>
      </c>
      <c r="D3684" s="3" t="str">
        <f>"F900-20-2739-(AR 5.0)"</f>
        <v>F900-20-2739-(AR 5.0)</v>
      </c>
      <c r="E3684" s="3" t="str">
        <f>"Who is Dolly Parton?"</f>
        <v>Who is Dolly Parton?</v>
      </c>
      <c r="F3684" s="3" t="str">
        <f>"by True Kelley ; illustrated by Stephen Marchesi"</f>
        <v>by True Kelley ; illustrated by Stephen Marchesi</v>
      </c>
      <c r="G3684" s="3" t="str">
        <f>"Penguin Workshop"</f>
        <v>Penguin Workshop</v>
      </c>
      <c r="H3684" s="2" t="str">
        <f>"2014"</f>
        <v>2014</v>
      </c>
      <c r="I3684" s="3" t="str">
        <f>""</f>
        <v/>
      </c>
    </row>
    <row r="3685" spans="1:9" x14ac:dyDescent="0.3">
      <c r="A3685" s="2">
        <v>3684</v>
      </c>
      <c r="B3685" s="4" t="s">
        <v>51</v>
      </c>
      <c r="C3685" s="3" t="str">
        <f>"TFC000002437"</f>
        <v>TFC000002437</v>
      </c>
      <c r="D3685" s="3" t="str">
        <f>"F900-20-2740-(AR 5.0)"</f>
        <v>F900-20-2740-(AR 5.0)</v>
      </c>
      <c r="E3685" s="3" t="str">
        <f>"(A)picture book of Jesse Owens"</f>
        <v>(A)picture book of Jesse Owens</v>
      </c>
      <c r="F3685" s="3" t="str">
        <f>"David Adler ; illustrated by Robert Casilla"</f>
        <v>David Adler ; illustrated by Robert Casilla</v>
      </c>
      <c r="G3685" s="3" t="str">
        <f>"Holiday House"</f>
        <v>Holiday House</v>
      </c>
      <c r="H3685" s="2" t="str">
        <f>"2019"</f>
        <v>2019</v>
      </c>
      <c r="I3685" s="3" t="str">
        <f>""</f>
        <v/>
      </c>
    </row>
    <row r="3686" spans="1:9" x14ac:dyDescent="0.3">
      <c r="A3686" s="2">
        <v>3685</v>
      </c>
      <c r="B3686" s="4" t="s">
        <v>51</v>
      </c>
      <c r="C3686" s="3" t="str">
        <f>"TFC000002913"</f>
        <v>TFC000002913</v>
      </c>
      <c r="D3686" s="3" t="str">
        <f>"F800-20-2729-(AR 5.0)"</f>
        <v>F800-20-2729-(AR 5.0)</v>
      </c>
      <c r="E3686" s="3" t="str">
        <f>"(The)little prince"</f>
        <v>(The)little prince</v>
      </c>
      <c r="F3686" s="3" t="str">
        <f>"written and illustrated by Antoine de Saint-Exupery ; translated from the French by Richard Howard"</f>
        <v>written and illustrated by Antoine de Saint-Exupery ; translated from the French by Richard Howard</v>
      </c>
      <c r="G3686" s="3" t="str">
        <f>"Harvest Book"</f>
        <v>Harvest Book</v>
      </c>
      <c r="H3686" s="2" t="str">
        <f>"2000"</f>
        <v>2000</v>
      </c>
      <c r="I3686" s="3" t="str">
        <f>""</f>
        <v/>
      </c>
    </row>
    <row r="3687" spans="1:9" x14ac:dyDescent="0.3">
      <c r="A3687" s="2">
        <v>3686</v>
      </c>
      <c r="B3687" s="4" t="s">
        <v>51</v>
      </c>
      <c r="C3687" s="3" t="str">
        <f>"TFC000003040"</f>
        <v>TFC000003040</v>
      </c>
      <c r="D3687" s="3" t="str">
        <f>"F800-20-2730-(AR 5.0)"</f>
        <v>F800-20-2730-(AR 5.0)</v>
      </c>
      <c r="E3687" s="3" t="str">
        <f>"(The)candymakers"</f>
        <v>(The)candymakers</v>
      </c>
      <c r="F3687" s="3" t="str">
        <f>"candymakers"</f>
        <v>candymakers</v>
      </c>
      <c r="G3687" s="3" t="str">
        <f>"Little, brown"</f>
        <v>Little, brown</v>
      </c>
      <c r="H3687" s="2" t="str">
        <f>"2016"</f>
        <v>2016</v>
      </c>
      <c r="I3687" s="3" t="str">
        <f>""</f>
        <v/>
      </c>
    </row>
    <row r="3688" spans="1:9" x14ac:dyDescent="0.3">
      <c r="A3688" s="2">
        <v>3687</v>
      </c>
      <c r="B3688" s="4" t="s">
        <v>51</v>
      </c>
      <c r="C3688" s="3" t="str">
        <f>"TFC000003410"</f>
        <v>TFC000003410</v>
      </c>
      <c r="D3688" s="3" t="str">
        <f>"F400-21-0846-(AR 5.0)"</f>
        <v>F400-21-0846-(AR 5.0)</v>
      </c>
      <c r="E3688" s="3" t="str">
        <f>"If you take away the otter"</f>
        <v>If you take away the otter</v>
      </c>
      <c r="F3688" s="3" t="str">
        <f>"by Susannah Buhrman-Deever ; illustrated by Matthew Trueman"</f>
        <v>by Susannah Buhrman-Deever ; illustrated by Matthew Trueman</v>
      </c>
      <c r="G3688" s="3" t="str">
        <f>"Candlewick press"</f>
        <v>Candlewick press</v>
      </c>
      <c r="H3688" s="2" t="str">
        <f>"2020"</f>
        <v>2020</v>
      </c>
      <c r="I3688" s="3" t="str">
        <f>""</f>
        <v/>
      </c>
    </row>
    <row r="3689" spans="1:9" x14ac:dyDescent="0.3">
      <c r="A3689" s="2">
        <v>3688</v>
      </c>
      <c r="B3689" s="4" t="s">
        <v>51</v>
      </c>
      <c r="C3689" s="3" t="str">
        <f>"TFC000003500"</f>
        <v>TFC000003500</v>
      </c>
      <c r="D3689" s="3" t="str">
        <f>"F400-21-0847-(AR 5.0)"</f>
        <v>F400-21-0847-(AR 5.0)</v>
      </c>
      <c r="E3689" s="3" t="str">
        <f>"What If you had animal eyes?"</f>
        <v>What If you had animal eyes?</v>
      </c>
      <c r="F3689" s="3" t="str">
        <f>"by Sandra Markle, illustrated by Howard McWilliam"</f>
        <v>by Sandra Markle, illustrated by Howard McWilliam</v>
      </c>
      <c r="G3689" s="3" t="str">
        <f>"Scholastic"</f>
        <v>Scholastic</v>
      </c>
      <c r="H3689" s="2" t="str">
        <f>"2017"</f>
        <v>2017</v>
      </c>
      <c r="I3689" s="3" t="str">
        <f>""</f>
        <v/>
      </c>
    </row>
    <row r="3690" spans="1:9" x14ac:dyDescent="0.3">
      <c r="A3690" s="2">
        <v>3689</v>
      </c>
      <c r="B3690" s="4" t="s">
        <v>51</v>
      </c>
      <c r="C3690" s="3" t="str">
        <f>"TFC000003528"</f>
        <v>TFC000003528</v>
      </c>
      <c r="D3690" s="3" t="str">
        <f>"F800-21-0849-(AR 5.0)"</f>
        <v>F800-21-0849-(AR 5.0)</v>
      </c>
      <c r="E3690" s="3" t="str">
        <f>"(The)Magician's elephant"</f>
        <v>(The)Magician's elephant</v>
      </c>
      <c r="F3690" s="3" t="str">
        <f>"by Kate DiCamillo, illustrated by Yoko Tanaka"</f>
        <v>by Kate DiCamillo, illustrated by Yoko Tanaka</v>
      </c>
      <c r="G3690" s="3" t="str">
        <f>"Candlewick"</f>
        <v>Candlewick</v>
      </c>
      <c r="H3690" s="2" t="str">
        <f>"2015"</f>
        <v>2015</v>
      </c>
      <c r="I3690" s="3" t="str">
        <f>""</f>
        <v/>
      </c>
    </row>
    <row r="3691" spans="1:9" x14ac:dyDescent="0.3">
      <c r="A3691" s="2">
        <v>3690</v>
      </c>
      <c r="B3691" s="4" t="s">
        <v>51</v>
      </c>
      <c r="C3691" s="3" t="str">
        <f>"TFC000003636"</f>
        <v>TFC000003636</v>
      </c>
      <c r="D3691" s="3" t="str">
        <f>"F800-21-0850-(AR 5.0)"</f>
        <v>F800-21-0850-(AR 5.0)</v>
      </c>
      <c r="E3691" s="3" t="str">
        <f>"Artemis Fowl : the Arctic incident"</f>
        <v>Artemis Fowl : the Arctic incident</v>
      </c>
      <c r="F3691" s="3" t="str">
        <f>"by Eoin Colfer"</f>
        <v>by Eoin Colfer</v>
      </c>
      <c r="G3691" s="3" t="str">
        <f>"Thorndike Press"</f>
        <v>Thorndike Press</v>
      </c>
      <c r="H3691" s="2" t="str">
        <f>"2020"</f>
        <v>2020</v>
      </c>
      <c r="I3691" s="3" t="str">
        <f>""</f>
        <v/>
      </c>
    </row>
    <row r="3692" spans="1:9" x14ac:dyDescent="0.3">
      <c r="A3692" s="2">
        <v>3691</v>
      </c>
      <c r="B3692" s="4" t="s">
        <v>51</v>
      </c>
      <c r="C3692" s="3" t="str">
        <f>"TFC000003637"</f>
        <v>TFC000003637</v>
      </c>
      <c r="D3692" s="3" t="str">
        <f>"F800-21-0851-(AR 5.0)"</f>
        <v>F800-21-0851-(AR 5.0)</v>
      </c>
      <c r="E3692" s="3" t="str">
        <f>"Artemis Fowl : the eternity code"</f>
        <v>Artemis Fowl : the eternity code</v>
      </c>
      <c r="F3692" s="3" t="str">
        <f>"by Eoin Colfer"</f>
        <v>by Eoin Colfer</v>
      </c>
      <c r="G3692" s="3" t="str">
        <f>"Thorndike Press"</f>
        <v>Thorndike Press</v>
      </c>
      <c r="H3692" s="2" t="str">
        <f>"2020"</f>
        <v>2020</v>
      </c>
      <c r="I3692" s="3" t="str">
        <f>""</f>
        <v/>
      </c>
    </row>
    <row r="3693" spans="1:9" x14ac:dyDescent="0.3">
      <c r="A3693" s="2">
        <v>3692</v>
      </c>
      <c r="B3693" s="4" t="s">
        <v>51</v>
      </c>
      <c r="C3693" s="3" t="str">
        <f>"TFC000004089"</f>
        <v>TFC000004089</v>
      </c>
      <c r="D3693" s="3" t="str">
        <f>"F400-21-0848-(AR 5.0)"</f>
        <v>F400-21-0848-(AR 5.0)</v>
      </c>
      <c r="E3693" s="3" t="str">
        <f>"Wolf vs. Golden Eagle"</f>
        <v>Wolf vs. Golden Eagle</v>
      </c>
      <c r="F3693" s="3" t="str">
        <f>"by Lisa M. Bolt Simons"</f>
        <v>by Lisa M. Bolt Simons</v>
      </c>
      <c r="G3693" s="3" t="str">
        <f>"Capstone Press"</f>
        <v>Capstone Press</v>
      </c>
      <c r="H3693" s="2" t="str">
        <f>"2021"</f>
        <v>2021</v>
      </c>
      <c r="I3693" s="3" t="str">
        <f>""</f>
        <v/>
      </c>
    </row>
    <row r="3694" spans="1:9" x14ac:dyDescent="0.3">
      <c r="A3694" s="2">
        <v>3693</v>
      </c>
      <c r="B3694" s="4" t="s">
        <v>51</v>
      </c>
      <c r="C3694" s="3" t="str">
        <f>"TFC000004246"</f>
        <v>TFC000004246</v>
      </c>
      <c r="D3694" s="3" t="str">
        <f>"F800-22-0070-(AR 5.0)=2"</f>
        <v>F800-22-0070-(AR 5.0)=2</v>
      </c>
      <c r="E3694" s="3" t="str">
        <f>"(The)Land of stories : the Wishing spell"</f>
        <v>(The)Land of stories : the Wishing spell</v>
      </c>
      <c r="F3694" s="3" t="str">
        <f>"by Chris Colfer, illustrated by Brandon Dorman"</f>
        <v>by Chris Colfer, illustrated by Brandon Dorman</v>
      </c>
      <c r="G3694" s="3" t="str">
        <f>"Little, Brown and Company"</f>
        <v>Little, Brown and Company</v>
      </c>
      <c r="H3694" s="2" t="str">
        <f>"2012"</f>
        <v>2012</v>
      </c>
      <c r="I3694" s="3" t="str">
        <f>""</f>
        <v/>
      </c>
    </row>
    <row r="3695" spans="1:9" x14ac:dyDescent="0.3">
      <c r="A3695" s="2">
        <v>3694</v>
      </c>
      <c r="B3695" s="4" t="s">
        <v>51</v>
      </c>
      <c r="C3695" s="3" t="str">
        <f>"TFC000004794"</f>
        <v>TFC000004794</v>
      </c>
      <c r="D3695" s="3" t="str">
        <f>"F800-22-0532-(AR 5.0)"</f>
        <v>F800-22-0532-(AR 5.0)</v>
      </c>
      <c r="E3695" s="3" t="str">
        <f>"Matilda"</f>
        <v>Matilda</v>
      </c>
      <c r="F3695" s="3" t="str">
        <f>"by Roald Dahl, illustrated by Quentin Blake"</f>
        <v>by Roald Dahl, illustrated by Quentin Blake</v>
      </c>
      <c r="G3695" s="3" t="str">
        <f>"Penguin Books"</f>
        <v>Penguin Books</v>
      </c>
      <c r="H3695" s="2" t="str">
        <f>"2014"</f>
        <v>2014</v>
      </c>
      <c r="I3695" s="3" t="str">
        <f>""</f>
        <v/>
      </c>
    </row>
    <row r="3696" spans="1:9" x14ac:dyDescent="0.3">
      <c r="A3696" s="2">
        <v>3695</v>
      </c>
      <c r="B3696" s="4" t="s">
        <v>51</v>
      </c>
      <c r="C3696" s="3" t="str">
        <f>"TFC000004907"</f>
        <v>TFC000004907</v>
      </c>
      <c r="D3696" s="3" t="str">
        <f>"F800-23-0011-(AR5.0)"</f>
        <v>F800-23-0011-(AR5.0)</v>
      </c>
      <c r="E3696" s="3" t="str">
        <f>"(The)lost heir. 2, The lost heir"</f>
        <v>(The)lost heir. 2, The lost heir</v>
      </c>
      <c r="F3696" s="3" t="str">
        <f>"by Tui T. Sutherland"</f>
        <v>by Tui T. Sutherland</v>
      </c>
      <c r="G3696" s="3" t="str">
        <f>"Scholastic Press"</f>
        <v>Scholastic Press</v>
      </c>
      <c r="H3696" s="2" t="str">
        <f>"2013"</f>
        <v>2013</v>
      </c>
      <c r="I3696" s="3" t="str">
        <f>""</f>
        <v/>
      </c>
    </row>
    <row r="3697" spans="1:9" x14ac:dyDescent="0.3">
      <c r="A3697" s="2">
        <v>3696</v>
      </c>
      <c r="B3697" s="4" t="s">
        <v>51</v>
      </c>
      <c r="C3697" s="3" t="str">
        <f>"TFC000004788"</f>
        <v>TFC000004788</v>
      </c>
      <c r="D3697" s="3" t="str">
        <f>"F800-22-0527-(AR5.0)"</f>
        <v>F800-22-0527-(AR5.0)</v>
      </c>
      <c r="E3697" s="3" t="str">
        <f>"(The)last cuentista"</f>
        <v>(The)last cuentista</v>
      </c>
      <c r="F3697" s="3" t="str">
        <f>"by Donna Barba Higuera"</f>
        <v>by Donna Barba Higuera</v>
      </c>
      <c r="G3697" s="3" t="str">
        <f>"Levine Querido"</f>
        <v>Levine Querido</v>
      </c>
      <c r="H3697" s="2" t="str">
        <f>"2021"</f>
        <v>2021</v>
      </c>
      <c r="I3697" s="3" t="str">
        <f>""</f>
        <v/>
      </c>
    </row>
    <row r="3698" spans="1:9" x14ac:dyDescent="0.3">
      <c r="A3698" s="2">
        <v>3697</v>
      </c>
      <c r="B3698" s="4" t="s">
        <v>51</v>
      </c>
      <c r="C3698" s="3" t="str">
        <f>"TFC000004604"</f>
        <v>TFC000004604</v>
      </c>
      <c r="D3698" s="3" t="str">
        <f>"F800-22-0413-(AR5.0)"</f>
        <v>F800-22-0413-(AR5.0)</v>
      </c>
      <c r="E3698" s="3" t="str">
        <f>"Zara Hossain is Here"</f>
        <v>Zara Hossain is Here</v>
      </c>
      <c r="F3698" s="3" t="str">
        <f>"by Sabina Khan"</f>
        <v>by Sabina Khan</v>
      </c>
      <c r="G3698" s="3" t="str">
        <f>"Scholastic"</f>
        <v>Scholastic</v>
      </c>
      <c r="H3698" s="2" t="str">
        <f>"2021"</f>
        <v>2021</v>
      </c>
      <c r="I3698" s="3" t="str">
        <f>""</f>
        <v/>
      </c>
    </row>
    <row r="3699" spans="1:9" x14ac:dyDescent="0.3">
      <c r="A3699" s="2">
        <v>3698</v>
      </c>
      <c r="B3699" s="4" t="s">
        <v>51</v>
      </c>
      <c r="C3699" s="3" t="str">
        <f>"TFC000004512"</f>
        <v>TFC000004512</v>
      </c>
      <c r="D3699" s="3" t="str">
        <f>"F800-22-0321-(AR5.0)"</f>
        <v>F800-22-0321-(AR5.0)</v>
      </c>
      <c r="E3699" s="3" t="str">
        <f>"Mulan's secret plan"</f>
        <v>Mulan's secret plan</v>
      </c>
      <c r="F3699" s="3" t="str">
        <f>"by Tessa Roehl, illustrated by Denise Shimabukuro"</f>
        <v>by Tessa Roehl, illustrated by Denise Shimabukuro</v>
      </c>
      <c r="G3699" s="3" t="str">
        <f>"Disney Press"</f>
        <v>Disney Press</v>
      </c>
      <c r="H3699" s="2" t="str">
        <f>"2020"</f>
        <v>2020</v>
      </c>
      <c r="I3699" s="3" t="str">
        <f>""</f>
        <v/>
      </c>
    </row>
    <row r="3700" spans="1:9" x14ac:dyDescent="0.3">
      <c r="A3700" s="2">
        <v>3699</v>
      </c>
      <c r="B3700" s="4" t="s">
        <v>51</v>
      </c>
      <c r="C3700" s="3" t="str">
        <f>"TFC000004568"</f>
        <v>TFC000004568</v>
      </c>
      <c r="D3700" s="3" t="str">
        <f>"F800-22-0377-(AR5.0)"</f>
        <v>F800-22-0377-(AR5.0)</v>
      </c>
      <c r="E3700" s="3" t="str">
        <f>"Escape from...Hurricane Katrina"</f>
        <v>Escape from...Hurricane Katrina</v>
      </c>
      <c r="F3700" s="3" t="str">
        <f>"by Judy Allen Dodson, illustrated by Nigel Chilvers"</f>
        <v>by Judy Allen Dodson, illustrated by Nigel Chilvers</v>
      </c>
      <c r="G3700" s="3" t="str">
        <f>"Little Bee Books"</f>
        <v>Little Bee Books</v>
      </c>
      <c r="H3700" s="2" t="str">
        <f>"2021"</f>
        <v>2021</v>
      </c>
      <c r="I3700" s="3" t="str">
        <f>""</f>
        <v/>
      </c>
    </row>
    <row r="3701" spans="1:9" x14ac:dyDescent="0.3">
      <c r="A3701" s="2">
        <v>3700</v>
      </c>
      <c r="B3701" s="4" t="s">
        <v>51</v>
      </c>
      <c r="C3701" s="3" t="str">
        <f>"TFC000004569"</f>
        <v>TFC000004569</v>
      </c>
      <c r="D3701" s="3" t="str">
        <f>"F500-22-0378-(AR5.0)"</f>
        <v>F500-22-0378-(AR5.0)</v>
      </c>
      <c r="E3701" s="3" t="str">
        <f>"Mimic makers : biomimicry inventors inspired by nature"</f>
        <v>Mimic makers : biomimicry inventors inspired by nature</v>
      </c>
      <c r="F3701" s="3" t="str">
        <f>"by Kristen Nordstrom, illustrated by Paul Boston"</f>
        <v>by Kristen Nordstrom, illustrated by Paul Boston</v>
      </c>
      <c r="G3701" s="3" t="str">
        <f>"Charlesbridge"</f>
        <v>Charlesbridge</v>
      </c>
      <c r="H3701" s="2" t="str">
        <f>"2021"</f>
        <v>2021</v>
      </c>
      <c r="I3701" s="3" t="str">
        <f>""</f>
        <v/>
      </c>
    </row>
    <row r="3702" spans="1:9" x14ac:dyDescent="0.3">
      <c r="A3702" s="2">
        <v>3701</v>
      </c>
      <c r="B3702" s="4" t="s">
        <v>51</v>
      </c>
      <c r="C3702" s="3" t="str">
        <f>"TFC000004570"</f>
        <v>TFC000004570</v>
      </c>
      <c r="D3702" s="3" t="str">
        <f>"F800-22-0379-(AR5.0)"</f>
        <v>F800-22-0379-(AR5.0)</v>
      </c>
      <c r="E3702" s="3" t="str">
        <f>"Parker bell and the science of friendship"</f>
        <v>Parker bell and the science of friendship</v>
      </c>
      <c r="F3702" s="3" t="str">
        <f>"by Cynthia Platt, illustrated by Rea Zhai"</f>
        <v>by Cynthia Platt, illustrated by Rea Zhai</v>
      </c>
      <c r="G3702" s="3" t="str">
        <f>"Clarion books"</f>
        <v>Clarion books</v>
      </c>
      <c r="H3702" s="2" t="str">
        <f>"2019"</f>
        <v>2019</v>
      </c>
      <c r="I3702" s="3" t="str">
        <f>""</f>
        <v/>
      </c>
    </row>
    <row r="3703" spans="1:9" x14ac:dyDescent="0.3">
      <c r="A3703" s="2">
        <v>3702</v>
      </c>
      <c r="B3703" s="4" t="s">
        <v>51</v>
      </c>
      <c r="C3703" s="3" t="str">
        <f>"TFC000004603"</f>
        <v>TFC000004603</v>
      </c>
      <c r="D3703" s="3" t="str">
        <f>"F800-22-0412-(AR5.0)"</f>
        <v>F800-22-0412-(AR5.0)</v>
      </c>
      <c r="E3703" s="3" t="str">
        <f>"(The)Girl in the Headlines"</f>
        <v>(The)Girl in the Headlines</v>
      </c>
      <c r="F3703" s="3" t="str">
        <f>"by Hannah Jayne"</f>
        <v>by Hannah Jayne</v>
      </c>
      <c r="G3703" s="3" t="str">
        <f>"Sourcebooks Fire"</f>
        <v>Sourcebooks Fire</v>
      </c>
      <c r="H3703" s="2" t="str">
        <f>"2021"</f>
        <v>2021</v>
      </c>
      <c r="I3703" s="3" t="str">
        <f>""</f>
        <v/>
      </c>
    </row>
    <row r="3704" spans="1:9" x14ac:dyDescent="0.3">
      <c r="A3704" s="2">
        <v>3703</v>
      </c>
      <c r="B3704" s="4" t="s">
        <v>51</v>
      </c>
      <c r="C3704" s="3" t="str">
        <f>"TFC000003112"</f>
        <v>TFC000003112</v>
      </c>
      <c r="D3704" s="3" t="str">
        <f>"F900-20-2741-[2](AR 5.0)"</f>
        <v>F900-20-2741-[2](AR 5.0)</v>
      </c>
      <c r="E3704" s="3" t="str">
        <f>"Marie Curie"</f>
        <v>Marie Curie</v>
      </c>
      <c r="F3704" s="3" t="str">
        <f>"Ma Isabel Sánchez Vegara ; Frau Isa"</f>
        <v>Ma Isabel Sánchez Vegara ; Frau Isa</v>
      </c>
      <c r="G3704" s="3" t="str">
        <f>"Frances Lincoln Children&amp;apos;s Books"</f>
        <v>Frances Lincoln Children&amp;apos;s Books</v>
      </c>
      <c r="H3704" s="2" t="str">
        <f>"2017"</f>
        <v>2017</v>
      </c>
      <c r="I3704" s="3" t="str">
        <f>""</f>
        <v/>
      </c>
    </row>
    <row r="3705" spans="1:9" x14ac:dyDescent="0.3">
      <c r="A3705" s="2">
        <v>3704</v>
      </c>
      <c r="B3705" s="4" t="s">
        <v>52</v>
      </c>
      <c r="C3705" s="3" t="str">
        <f>"TFC000003413"</f>
        <v>TFC000003413</v>
      </c>
      <c r="D3705" s="3" t="str">
        <f>"F800-21-0856-(AR 5.1)"</f>
        <v>F800-21-0856-(AR 5.1)</v>
      </c>
      <c r="E3705" s="3" t="str">
        <f>"Hope was here"</f>
        <v>Hope was here</v>
      </c>
      <c r="F3705" s="3" t="str">
        <f>"by Joan Bauer"</f>
        <v>by Joan Bauer</v>
      </c>
      <c r="G3705" s="3" t="str">
        <f>"Speak"</f>
        <v>Speak</v>
      </c>
      <c r="H3705" s="2" t="str">
        <f>"2000"</f>
        <v>2000</v>
      </c>
      <c r="I3705" s="3" t="str">
        <f>""</f>
        <v/>
      </c>
    </row>
    <row r="3706" spans="1:9" x14ac:dyDescent="0.3">
      <c r="A3706" s="2">
        <v>3705</v>
      </c>
      <c r="B3706" s="4" t="s">
        <v>52</v>
      </c>
      <c r="C3706" s="3" t="str">
        <f>"TFC000002438"</f>
        <v>TFC000002438</v>
      </c>
      <c r="D3706" s="3" t="str">
        <f>"F300-20-2742-(AR 5.1)"</f>
        <v>F300-20-2742-(AR 5.1)</v>
      </c>
      <c r="E3706" s="3" t="str">
        <f>"Aesop's fables"</f>
        <v>Aesop's fables</v>
      </c>
      <c r="F3706" s="3" t="str">
        <f>"retold by Ann McGovern ; interior illustrations by A.J. McClaskey ; front cover illustration by Ricardo Tercio"</f>
        <v>retold by Ann McGovern ; interior illustrations by A.J. McClaskey ; front cover illustration by Ricardo Tercio</v>
      </c>
      <c r="G3706" s="3" t="str">
        <f>"Scholastic"</f>
        <v>Scholastic</v>
      </c>
      <c r="H3706" s="2" t="str">
        <f>"2013"</f>
        <v>2013</v>
      </c>
      <c r="I3706" s="3" t="str">
        <f>""</f>
        <v/>
      </c>
    </row>
    <row r="3707" spans="1:9" x14ac:dyDescent="0.3">
      <c r="A3707" s="2">
        <v>3706</v>
      </c>
      <c r="B3707" s="4" t="s">
        <v>52</v>
      </c>
      <c r="C3707" s="3" t="str">
        <f>"TFC000002439"</f>
        <v>TFC000002439</v>
      </c>
      <c r="D3707" s="3" t="str">
        <f>"F500-20-2745-(AR 5.1)"</f>
        <v>F500-20-2745-(AR 5.1)</v>
      </c>
      <c r="E3707" s="3" t="str">
        <f>"Zippers have teeth : and other questions about inventions"</f>
        <v>Zippers have teeth : and other questions about inventions</v>
      </c>
      <c r="F3707" s="3" t="str">
        <f>"Barbara Taylor"</f>
        <v>Barbara Taylor</v>
      </c>
      <c r="G3707" s="3" t="str">
        <f>"Kingfisher"</f>
        <v>Kingfisher</v>
      </c>
      <c r="H3707" s="2" t="str">
        <f>"2012"</f>
        <v>2012</v>
      </c>
      <c r="I3707" s="3" t="str">
        <f>""</f>
        <v/>
      </c>
    </row>
    <row r="3708" spans="1:9" x14ac:dyDescent="0.3">
      <c r="A3708" s="2">
        <v>3707</v>
      </c>
      <c r="B3708" s="4" t="s">
        <v>52</v>
      </c>
      <c r="C3708" s="3" t="str">
        <f>"TFC000002440"</f>
        <v>TFC000002440</v>
      </c>
      <c r="D3708" s="3" t="str">
        <f>"F500-20-2746-(AR 5.1)"</f>
        <v>F500-20-2746-(AR 5.1)</v>
      </c>
      <c r="E3708" s="3" t="str">
        <f>"Recycle! : a handbook for kids"</f>
        <v>Recycle! : a handbook for kids</v>
      </c>
      <c r="F3708" s="3" t="str">
        <f>"by Gail Gibbons"</f>
        <v>by Gail Gibbons</v>
      </c>
      <c r="G3708" s="3" t="str">
        <f>"Little, Brown and Company"</f>
        <v>Little, Brown and Company</v>
      </c>
      <c r="H3708" s="2" t="str">
        <f>"1996"</f>
        <v>1996</v>
      </c>
      <c r="I3708" s="3" t="str">
        <f>""</f>
        <v/>
      </c>
    </row>
    <row r="3709" spans="1:9" x14ac:dyDescent="0.3">
      <c r="A3709" s="2">
        <v>3708</v>
      </c>
      <c r="B3709" s="4" t="s">
        <v>52</v>
      </c>
      <c r="C3709" s="3" t="str">
        <f>"TFC000002442"</f>
        <v>TFC000002442</v>
      </c>
      <c r="D3709" s="3" t="str">
        <f>"F800-20-2748-(AR 5.1)"</f>
        <v>F800-20-2748-(AR 5.1)</v>
      </c>
      <c r="E3709" s="3" t="str">
        <f>"Time of wonder"</f>
        <v>Time of wonder</v>
      </c>
      <c r="F3709" s="3" t="str">
        <f>"by Robert McCloskey"</f>
        <v>by Robert McCloskey</v>
      </c>
      <c r="G3709" s="3" t="str">
        <f>"Puffin Books"</f>
        <v>Puffin Books</v>
      </c>
      <c r="H3709" s="2" t="str">
        <f>"1989"</f>
        <v>1989</v>
      </c>
      <c r="I3709" s="3" t="str">
        <f>""</f>
        <v/>
      </c>
    </row>
    <row r="3710" spans="1:9" x14ac:dyDescent="0.3">
      <c r="A3710" s="2">
        <v>3709</v>
      </c>
      <c r="B3710" s="4" t="s">
        <v>52</v>
      </c>
      <c r="C3710" s="3" t="str">
        <f>"TFC000002443"</f>
        <v>TFC000002443</v>
      </c>
      <c r="D3710" s="3" t="str">
        <f>"F800-20-2749-(AR 5.1)"</f>
        <v>F800-20-2749-(AR 5.1)</v>
      </c>
      <c r="E3710" s="3" t="str">
        <f>"Mrs. Frisby and the rats of Nimh"</f>
        <v>Mrs. Frisby and the rats of Nimh</v>
      </c>
      <c r="F3710" s="3" t="str">
        <f>"Robert C. O'Brien ; illustrated by Zena Bernstein"</f>
        <v>Robert C. O'Brien ; illustrated by Zena Bernstein</v>
      </c>
      <c r="G3710" s="3" t="str">
        <f>"Aladdin Paperbacks"</f>
        <v>Aladdin Paperbacks</v>
      </c>
      <c r="H3710" s="2" t="str">
        <f>"1986"</f>
        <v>1986</v>
      </c>
      <c r="I3710" s="3" t="str">
        <f>""</f>
        <v/>
      </c>
    </row>
    <row r="3711" spans="1:9" x14ac:dyDescent="0.3">
      <c r="A3711" s="2">
        <v>3710</v>
      </c>
      <c r="B3711" s="4" t="s">
        <v>52</v>
      </c>
      <c r="C3711" s="3" t="str">
        <f>"TFC000002444"</f>
        <v>TFC000002444</v>
      </c>
      <c r="D3711" s="3" t="str">
        <f>"F800-20-2750-(AR 5.1)"</f>
        <v>F800-20-2750-(AR 5.1)</v>
      </c>
      <c r="E3711" s="3" t="str">
        <f>"Kermit the Hermit"</f>
        <v>Kermit the Hermit</v>
      </c>
      <c r="F3711" s="3" t="str">
        <f>"written and illustrated by Bill Peet"</f>
        <v>written and illustrated by Bill Peet</v>
      </c>
      <c r="G3711" s="3" t="str">
        <f>"Houghton Mifflin Company"</f>
        <v>Houghton Mifflin Company</v>
      </c>
      <c r="H3711" s="2" t="str">
        <f>"1993"</f>
        <v>1993</v>
      </c>
      <c r="I3711" s="3" t="str">
        <f>""</f>
        <v/>
      </c>
    </row>
    <row r="3712" spans="1:9" x14ac:dyDescent="0.3">
      <c r="A3712" s="2">
        <v>3711</v>
      </c>
      <c r="B3712" s="4" t="s">
        <v>52</v>
      </c>
      <c r="C3712" s="3" t="str">
        <f>"TFC000002446"</f>
        <v>TFC000002446</v>
      </c>
      <c r="D3712" s="3" t="str">
        <f>"F800-20-2752-(AR 5.1)"</f>
        <v>F800-20-2752-(AR 5.1)</v>
      </c>
      <c r="E3712" s="3" t="str">
        <f>"(The)wild robot"</f>
        <v>(The)wild robot</v>
      </c>
      <c r="F3712" s="3" t="str">
        <f>"words and pictures by Peter Brown"</f>
        <v>words and pictures by Peter Brown</v>
      </c>
      <c r="G3712" s="3" t="str">
        <f>"Little, Brown and Company"</f>
        <v>Little, Brown and Company</v>
      </c>
      <c r="H3712" s="2" t="str">
        <f>"2018"</f>
        <v>2018</v>
      </c>
      <c r="I3712" s="3" t="str">
        <f>""</f>
        <v/>
      </c>
    </row>
    <row r="3713" spans="1:9" x14ac:dyDescent="0.3">
      <c r="A3713" s="2">
        <v>3712</v>
      </c>
      <c r="B3713" s="4" t="s">
        <v>52</v>
      </c>
      <c r="C3713" s="3" t="str">
        <f>"TFC000002447"</f>
        <v>TFC000002447</v>
      </c>
      <c r="D3713" s="3" t="str">
        <f>"F800-20-2753-(AR 5.1)"</f>
        <v>F800-20-2753-(AR 5.1)</v>
      </c>
      <c r="E3713" s="3" t="str">
        <f>"Henry and the clubhouse"</f>
        <v>Henry and the clubhouse</v>
      </c>
      <c r="F3713" s="3" t="str">
        <f>"by Beverly Cleary ; illustrated by Tracy Dockray"</f>
        <v>by Beverly Cleary ; illustrated by Tracy Dockray</v>
      </c>
      <c r="G3713" s="3" t="str">
        <f>"HarperTrophy"</f>
        <v>HarperTrophy</v>
      </c>
      <c r="H3713" s="2" t="str">
        <f>"2007"</f>
        <v>2007</v>
      </c>
      <c r="I3713" s="3" t="str">
        <f>""</f>
        <v/>
      </c>
    </row>
    <row r="3714" spans="1:9" x14ac:dyDescent="0.3">
      <c r="A3714" s="2">
        <v>3713</v>
      </c>
      <c r="B3714" s="4" t="s">
        <v>52</v>
      </c>
      <c r="C3714" s="3" t="str">
        <f>"TFC000002448"</f>
        <v>TFC000002448</v>
      </c>
      <c r="D3714" s="3" t="str">
        <f>"F800-20-2754-(AR 5.1)"</f>
        <v>F800-20-2754-(AR 5.1)</v>
      </c>
      <c r="E3714" s="3" t="str">
        <f>"(The)mouse and the motorcycle"</f>
        <v>(The)mouse and the motorcycle</v>
      </c>
      <c r="F3714" s="3" t="str">
        <f>"by Beverly Cleary ; illustrated by Tracy Dockray"</f>
        <v>by Beverly Cleary ; illustrated by Tracy Dockray</v>
      </c>
      <c r="G3714" s="3" t="str">
        <f>"HarperTrophy"</f>
        <v>HarperTrophy</v>
      </c>
      <c r="H3714" s="2" t="str">
        <f>"2006"</f>
        <v>2006</v>
      </c>
      <c r="I3714" s="3" t="str">
        <f>""</f>
        <v/>
      </c>
    </row>
    <row r="3715" spans="1:9" x14ac:dyDescent="0.3">
      <c r="A3715" s="2">
        <v>3714</v>
      </c>
      <c r="B3715" s="4" t="s">
        <v>52</v>
      </c>
      <c r="C3715" s="3" t="str">
        <f>"TFC000002449"</f>
        <v>TFC000002449</v>
      </c>
      <c r="D3715" s="3" t="str">
        <f>"F800-20-2755-(AR 5.1)"</f>
        <v>F800-20-2755-(AR 5.1)</v>
      </c>
      <c r="E3715" s="3" t="str">
        <f>"Ralph S. mouse"</f>
        <v>Ralph S. mouse</v>
      </c>
      <c r="F3715" s="3" t="str">
        <f>"by Beverly Cleary ; illustrated by Tracy Dockray"</f>
        <v>by Beverly Cleary ; illustrated by Tracy Dockray</v>
      </c>
      <c r="G3715" s="3" t="str">
        <f>"HarperTrophy"</f>
        <v>HarperTrophy</v>
      </c>
      <c r="H3715" s="2" t="str">
        <f>"2006"</f>
        <v>2006</v>
      </c>
      <c r="I3715" s="3" t="str">
        <f>""</f>
        <v/>
      </c>
    </row>
    <row r="3716" spans="1:9" x14ac:dyDescent="0.3">
      <c r="A3716" s="2">
        <v>3715</v>
      </c>
      <c r="B3716" s="4" t="s">
        <v>52</v>
      </c>
      <c r="C3716" s="3" t="str">
        <f>"TFC000002450"</f>
        <v>TFC000002450</v>
      </c>
      <c r="D3716" s="3" t="str">
        <f>"F800-20-2756-(AR 5.1)"</f>
        <v>F800-20-2756-(AR 5.1)</v>
      </c>
      <c r="E3716" s="3" t="str">
        <f>"Ramona the pest"</f>
        <v>Ramona the pest</v>
      </c>
      <c r="F3716" s="3" t="str">
        <f>"Beverly Cleary ; illustrated by Jacqueline Rogers"</f>
        <v>Beverly Cleary ; illustrated by Jacqueline Rogers</v>
      </c>
      <c r="G3716" s="3" t="str">
        <f>"Harper"</f>
        <v>Harper</v>
      </c>
      <c r="H3716" s="2" t="str">
        <f>"2013"</f>
        <v>2013</v>
      </c>
      <c r="I3716" s="3" t="str">
        <f>""</f>
        <v/>
      </c>
    </row>
    <row r="3717" spans="1:9" x14ac:dyDescent="0.3">
      <c r="A3717" s="2">
        <v>3716</v>
      </c>
      <c r="B3717" s="4" t="s">
        <v>52</v>
      </c>
      <c r="C3717" s="3" t="str">
        <f>"TFC000002451"</f>
        <v>TFC000002451</v>
      </c>
      <c r="D3717" s="3" t="str">
        <f>"F800-20-2757-(AR 5.1)"</f>
        <v>F800-20-2757-(AR 5.1)</v>
      </c>
      <c r="E3717" s="3" t="str">
        <f>"Room one : a mystery or two"</f>
        <v>Room one : a mystery or two</v>
      </c>
      <c r="F3717" s="3" t="str">
        <f>"Andrew Clements ; illustrations by Mark Elliott"</f>
        <v>Andrew Clements ; illustrations by Mark Elliott</v>
      </c>
      <c r="G3717" s="3" t="str">
        <f>"Atheneum Books for Young Readers"</f>
        <v>Atheneum Books for Young Readers</v>
      </c>
      <c r="H3717" s="2" t="str">
        <f>"2008"</f>
        <v>2008</v>
      </c>
      <c r="I3717" s="3" t="str">
        <f>""</f>
        <v/>
      </c>
    </row>
    <row r="3718" spans="1:9" x14ac:dyDescent="0.3">
      <c r="A3718" s="2">
        <v>3717</v>
      </c>
      <c r="B3718" s="4" t="s">
        <v>52</v>
      </c>
      <c r="C3718" s="3" t="str">
        <f>"TFC000002452"</f>
        <v>TFC000002452</v>
      </c>
      <c r="D3718" s="3" t="str">
        <f>"F800-20-2758-(AR 5.1)"</f>
        <v>F800-20-2758-(AR 5.1)</v>
      </c>
      <c r="E3718" s="3" t="str">
        <f>"(The)graveyard book"</f>
        <v>(The)graveyard book</v>
      </c>
      <c r="F3718" s="3" t="str">
        <f>"Neil Gaiman ; with illustrations by Dave McKean"</f>
        <v>Neil Gaiman ; with illustrations by Dave McKean</v>
      </c>
      <c r="G3718" s="3" t="str">
        <f>"Harper"</f>
        <v>Harper</v>
      </c>
      <c r="H3718" s="2" t="str">
        <f>"2010"</f>
        <v>2010</v>
      </c>
      <c r="I3718" s="3" t="str">
        <f>""</f>
        <v/>
      </c>
    </row>
    <row r="3719" spans="1:9" x14ac:dyDescent="0.3">
      <c r="A3719" s="2">
        <v>3718</v>
      </c>
      <c r="B3719" s="4" t="s">
        <v>52</v>
      </c>
      <c r="C3719" s="3" t="str">
        <f>"TFC000002453"</f>
        <v>TFC000002453</v>
      </c>
      <c r="D3719" s="3" t="str">
        <f>"F800-20-2759-(AR 5.1)"</f>
        <v>F800-20-2759-(AR 5.1)</v>
      </c>
      <c r="E3719" s="3" t="str">
        <f>"Stormbreaker : an Alex Rider adventure"</f>
        <v>Stormbreaker : an Alex Rider adventure</v>
      </c>
      <c r="F3719" s="3" t="str">
        <f>"Anthony Horowitz"</f>
        <v>Anthony Horowitz</v>
      </c>
      <c r="G3719" s="3" t="str">
        <f>"Speak:Penguin"</f>
        <v>Speak:Penguin</v>
      </c>
      <c r="H3719" s="2" t="str">
        <f>"2010"</f>
        <v>2010</v>
      </c>
      <c r="I3719" s="3" t="str">
        <f>""</f>
        <v/>
      </c>
    </row>
    <row r="3720" spans="1:9" x14ac:dyDescent="0.3">
      <c r="A3720" s="2">
        <v>3719</v>
      </c>
      <c r="B3720" s="4" t="s">
        <v>52</v>
      </c>
      <c r="C3720" s="3" t="str">
        <f>"TFC000002454"</f>
        <v>TFC000002454</v>
      </c>
      <c r="D3720" s="3" t="str">
        <f>"F800-20-2760-(AR 5.1)"</f>
        <v>F800-20-2760-(AR 5.1)</v>
      </c>
      <c r="E3720" s="3" t="str">
        <f>"(The)color of my words"</f>
        <v>(The)color of my words</v>
      </c>
      <c r="F3720" s="3" t="str">
        <f>"Lynn Joseph"</f>
        <v>Lynn Joseph</v>
      </c>
      <c r="G3720" s="3" t="str">
        <f>"HarperTrophy"</f>
        <v>HarperTrophy</v>
      </c>
      <c r="H3720" s="2" t="str">
        <f>"2002"</f>
        <v>2002</v>
      </c>
      <c r="I3720" s="3" t="str">
        <f>""</f>
        <v/>
      </c>
    </row>
    <row r="3721" spans="1:9" x14ac:dyDescent="0.3">
      <c r="A3721" s="2">
        <v>3720</v>
      </c>
      <c r="B3721" s="4" t="s">
        <v>52</v>
      </c>
      <c r="C3721" s="3" t="str">
        <f>"TFC000002456"</f>
        <v>TFC000002456</v>
      </c>
      <c r="D3721" s="3" t="str">
        <f>"F800-20-2762-(AR 5.1)"</f>
        <v>F800-20-2762-(AR 5.1)</v>
      </c>
      <c r="E3721" s="3" t="str">
        <f>"(A)dog's life : the autobiography of a stray"</f>
        <v>(A)dog's life : the autobiography of a stray</v>
      </c>
      <c r="F3721" s="3" t="str">
        <f>"by Ann M. Martin"</f>
        <v>by Ann M. Martin</v>
      </c>
      <c r="G3721" s="3" t="str">
        <f>"Scholastic"</f>
        <v>Scholastic</v>
      </c>
      <c r="H3721" s="2" t="str">
        <f>"2007"</f>
        <v>2007</v>
      </c>
      <c r="I3721" s="3" t="str">
        <f>""</f>
        <v/>
      </c>
    </row>
    <row r="3722" spans="1:9" x14ac:dyDescent="0.3">
      <c r="A3722" s="2">
        <v>3721</v>
      </c>
      <c r="B3722" s="4" t="s">
        <v>52</v>
      </c>
      <c r="C3722" s="3" t="str">
        <f>"TFC000002457"</f>
        <v>TFC000002457</v>
      </c>
      <c r="D3722" s="3" t="str">
        <f>"F800-20-2763-(AR 5.1)"</f>
        <v>F800-20-2763-(AR 5.1)</v>
      </c>
      <c r="E3722" s="3" t="str">
        <f>"Monster"</f>
        <v>Monster</v>
      </c>
      <c r="F3722" s="3" t="str">
        <f>"Walter Dean Myers ; illustrations by Christopher Myers"</f>
        <v>Walter Dean Myers ; illustrations by Christopher Myers</v>
      </c>
      <c r="G3722" s="3" t="str">
        <f>"HarperTeen:Amistad"</f>
        <v>HarperTeen:Amistad</v>
      </c>
      <c r="H3722" s="2" t="str">
        <f>"2019"</f>
        <v>2019</v>
      </c>
      <c r="I3722" s="3" t="str">
        <f>""</f>
        <v/>
      </c>
    </row>
    <row r="3723" spans="1:9" x14ac:dyDescent="0.3">
      <c r="A3723" s="2">
        <v>3722</v>
      </c>
      <c r="B3723" s="4" t="s">
        <v>52</v>
      </c>
      <c r="C3723" s="3" t="str">
        <f>"TFC000002458"</f>
        <v>TFC000002458</v>
      </c>
      <c r="D3723" s="3" t="str">
        <f>"F800-20-2764-(AR 5.1)"</f>
        <v>F800-20-2764-(AR 5.1)</v>
      </c>
      <c r="E3723" s="3" t="str">
        <f>"Captain Underpants and the terrifying return of Tippy Tinkletrousers"</f>
        <v>Captain Underpants and the terrifying return of Tippy Tinkletrousers</v>
      </c>
      <c r="F3723" s="3" t="str">
        <f>"by Dav Pilkdy"</f>
        <v>by Dav Pilkdy</v>
      </c>
      <c r="G3723" s="3" t="str">
        <f>"Scholastic"</f>
        <v>Scholastic</v>
      </c>
      <c r="H3723" s="2" t="str">
        <f>"2019"</f>
        <v>2019</v>
      </c>
      <c r="I3723" s="3" t="str">
        <f>""</f>
        <v/>
      </c>
    </row>
    <row r="3724" spans="1:9" x14ac:dyDescent="0.3">
      <c r="A3724" s="2">
        <v>3723</v>
      </c>
      <c r="B3724" s="4" t="s">
        <v>52</v>
      </c>
      <c r="C3724" s="3" t="str">
        <f>"TFC000002459"</f>
        <v>TFC000002459</v>
      </c>
      <c r="D3724" s="3" t="str">
        <f>"F800-20-2765-(AR 5.1)"</f>
        <v>F800-20-2765-(AR 5.1)</v>
      </c>
      <c r="E3724" s="3" t="str">
        <f>"Magnus Chase and the gods of Asgard. 3, the ship of the dead"</f>
        <v>Magnus Chase and the gods of Asgard. 3, the ship of the dead</v>
      </c>
      <c r="F3724" s="3" t="str">
        <f>"Rick Riordan"</f>
        <v>Rick Riordan</v>
      </c>
      <c r="G3724" s="3" t="str">
        <f>"Disney·Hyperion"</f>
        <v>Disney·Hyperion</v>
      </c>
      <c r="H3724" s="2" t="str">
        <f>"2017"</f>
        <v>2017</v>
      </c>
      <c r="I3724" s="3" t="str">
        <f>""</f>
        <v/>
      </c>
    </row>
    <row r="3725" spans="1:9" x14ac:dyDescent="0.3">
      <c r="A3725" s="2">
        <v>3724</v>
      </c>
      <c r="B3725" s="4" t="s">
        <v>52</v>
      </c>
      <c r="C3725" s="3" t="str">
        <f>"TFC000002460"</f>
        <v>TFC000002460</v>
      </c>
      <c r="D3725" s="3" t="str">
        <f>"F800-20-2766-(AR 5.1)"</f>
        <v>F800-20-2766-(AR 5.1)</v>
      </c>
      <c r="E3725" s="3" t="str">
        <f>"Dork diaries. 2, tales from a not-so-popular party girl"</f>
        <v>Dork diaries. 2, tales from a not-so-popular party girl</v>
      </c>
      <c r="F3725" s="3" t="str">
        <f>"Rachel Renee Russell"</f>
        <v>Rachel Renee Russell</v>
      </c>
      <c r="G3725" s="3" t="str">
        <f>"Aladdin"</f>
        <v>Aladdin</v>
      </c>
      <c r="H3725" s="2" t="str">
        <f>"2010"</f>
        <v>2010</v>
      </c>
      <c r="I3725" s="3" t="str">
        <f>""</f>
        <v/>
      </c>
    </row>
    <row r="3726" spans="1:9" x14ac:dyDescent="0.3">
      <c r="A3726" s="2">
        <v>3725</v>
      </c>
      <c r="B3726" s="4" t="s">
        <v>52</v>
      </c>
      <c r="C3726" s="3" t="str">
        <f>"TFC000002461"</f>
        <v>TFC000002461</v>
      </c>
      <c r="D3726" s="3" t="str">
        <f>"F800-20-2767-(AR 5.1)"</f>
        <v>F800-20-2767-(AR 5.1)</v>
      </c>
      <c r="E3726" s="3" t="str">
        <f>"(The)Invention of Hugo Cabret : a novel in words and pictures"</f>
        <v>(The)Invention of Hugo Cabret : a novel in words and pictures</v>
      </c>
      <c r="F3726" s="3" t="str">
        <f>"by Brian Selznick"</f>
        <v>by Brian Selznick</v>
      </c>
      <c r="G3726" s="3" t="str">
        <f>"Scholastic Press"</f>
        <v>Scholastic Press</v>
      </c>
      <c r="H3726" s="2" t="str">
        <f>"2007"</f>
        <v>2007</v>
      </c>
      <c r="I3726" s="3" t="str">
        <f>""</f>
        <v/>
      </c>
    </row>
    <row r="3727" spans="1:9" x14ac:dyDescent="0.3">
      <c r="A3727" s="2">
        <v>3726</v>
      </c>
      <c r="B3727" s="4" t="s">
        <v>52</v>
      </c>
      <c r="C3727" s="3" t="str">
        <f>"TFC000002462"</f>
        <v>TFC000002462</v>
      </c>
      <c r="D3727" s="3" t="str">
        <f>"F800-20-2768-(AR 5.1)"</f>
        <v>F800-20-2768-(AR 5.1)</v>
      </c>
      <c r="E3727" s="3" t="str">
        <f>"Young fredle"</f>
        <v>Young fredle</v>
      </c>
      <c r="F3727" s="3" t="str">
        <f>"Cynthia Voigt ; illustrated by Louise Yates"</f>
        <v>Cynthia Voigt ; illustrated by Louise Yates</v>
      </c>
      <c r="G3727" s="3" t="str">
        <f>"Yearling Books"</f>
        <v>Yearling Books</v>
      </c>
      <c r="H3727" s="2" t="str">
        <f>"2012"</f>
        <v>2012</v>
      </c>
      <c r="I3727" s="3" t="str">
        <f>""</f>
        <v/>
      </c>
    </row>
    <row r="3728" spans="1:9" x14ac:dyDescent="0.3">
      <c r="A3728" s="2">
        <v>3727</v>
      </c>
      <c r="B3728" s="4" t="s">
        <v>52</v>
      </c>
      <c r="C3728" s="3" t="str">
        <f>"TFC000002463"</f>
        <v>TFC000002463</v>
      </c>
      <c r="D3728" s="3" t="str">
        <f>"F800-20-2769-(AR 5.1)"</f>
        <v>F800-20-2769-(AR 5.1)</v>
      </c>
      <c r="E3728" s="3" t="str">
        <f>"Geronimo and the gold medal mystery"</f>
        <v>Geronimo and the gold medal mystery</v>
      </c>
      <c r="F3728" s="3" t="str">
        <f>"by Geronimo Stilton ; illustrations by Cinzia Marrese, Vittoria Termini, Silvia Bigolin"</f>
        <v>by Geronimo Stilton ; illustrations by Cinzia Marrese, Vittoria Termini, Silvia Bigolin</v>
      </c>
      <c r="G3728" s="3" t="str">
        <f>"Scholastic"</f>
        <v>Scholastic</v>
      </c>
      <c r="H3728" s="2" t="str">
        <f>"2008"</f>
        <v>2008</v>
      </c>
      <c r="I3728" s="3" t="str">
        <f>""</f>
        <v/>
      </c>
    </row>
    <row r="3729" spans="1:9" x14ac:dyDescent="0.3">
      <c r="A3729" s="2">
        <v>3728</v>
      </c>
      <c r="B3729" s="4" t="s">
        <v>52</v>
      </c>
      <c r="C3729" s="3" t="str">
        <f>"TFC000002464"</f>
        <v>TFC000002464</v>
      </c>
      <c r="D3729" s="3" t="str">
        <f>"F800-20-2770-(AR 5.1)"</f>
        <v>F800-20-2770-(AR 5.1)</v>
      </c>
      <c r="E3729" s="3" t="str">
        <f>"Thea Stilton and the cherry blossom adventure"</f>
        <v>Thea Stilton and the cherry blossom adventure</v>
      </c>
      <c r="F3729" s="3" t="str">
        <f>"text by Thea Stilton ; illustrations by Alessandro Battan [et al.] ; translated by Julia Heim"</f>
        <v>text by Thea Stilton ; illustrations by Alessandro Battan [et al.] ; translated by Julia Heim</v>
      </c>
      <c r="G3729" s="3" t="str">
        <f>"Scholastic"</f>
        <v>Scholastic</v>
      </c>
      <c r="H3729" s="2" t="str">
        <f>"2019"</f>
        <v>2019</v>
      </c>
      <c r="I3729" s="3" t="str">
        <f>""</f>
        <v/>
      </c>
    </row>
    <row r="3730" spans="1:9" x14ac:dyDescent="0.3">
      <c r="A3730" s="2">
        <v>3729</v>
      </c>
      <c r="B3730" s="4" t="s">
        <v>52</v>
      </c>
      <c r="C3730" s="3" t="str">
        <f>"TFC000002465"</f>
        <v>TFC000002465</v>
      </c>
      <c r="D3730" s="3" t="str">
        <f>"F900-20-2771-(AR 5.1)"</f>
        <v>F900-20-2771-(AR 5.1)</v>
      </c>
      <c r="E3730" s="3" t="str">
        <f>"Follow the dream : the story of cristopher columbus"</f>
        <v>Follow the dream : the story of cristopher columbus</v>
      </c>
      <c r="F3730" s="3" t="str">
        <f>"by Peter Sis"</f>
        <v>by Peter Sis</v>
      </c>
      <c r="G3730" s="3" t="str">
        <f>"Alfred A. Knopf"</f>
        <v>Alfred A. Knopf</v>
      </c>
      <c r="H3730" s="2" t="str">
        <f>"2003"</f>
        <v>2003</v>
      </c>
      <c r="I3730" s="3" t="str">
        <f>""</f>
        <v/>
      </c>
    </row>
    <row r="3731" spans="1:9" x14ac:dyDescent="0.3">
      <c r="A3731" s="2">
        <v>3730</v>
      </c>
      <c r="B3731" s="4" t="s">
        <v>52</v>
      </c>
      <c r="C3731" s="3" t="str">
        <f>"TFC000002468"</f>
        <v>TFC000002468</v>
      </c>
      <c r="D3731" s="3" t="str">
        <f>"F900-20-2774-(AR 5.1)"</f>
        <v>F900-20-2774-(AR 5.1)</v>
      </c>
      <c r="E3731" s="3" t="str">
        <f>"Who was Marie Curie?"</f>
        <v>Who was Marie Curie?</v>
      </c>
      <c r="F3731" s="3" t="str">
        <f>"by Megan Stine ; illustrated by Ted Hammond"</f>
        <v>by Megan Stine ; illustrated by Ted Hammond</v>
      </c>
      <c r="G3731" s="3" t="str">
        <f>"Penguin Workshop"</f>
        <v>Penguin Workshop</v>
      </c>
      <c r="H3731" s="2" t="str">
        <f>"2015"</f>
        <v>2015</v>
      </c>
      <c r="I3731" s="3" t="str">
        <f>""</f>
        <v/>
      </c>
    </row>
    <row r="3732" spans="1:9" x14ac:dyDescent="0.3">
      <c r="A3732" s="2">
        <v>3731</v>
      </c>
      <c r="B3732" s="4" t="s">
        <v>52</v>
      </c>
      <c r="C3732" s="3" t="str">
        <f>"TFC000002469"</f>
        <v>TFC000002469</v>
      </c>
      <c r="D3732" s="3" t="str">
        <f>"F900-20-2775-(AR 5.1)"</f>
        <v>F900-20-2775-(AR 5.1)</v>
      </c>
      <c r="E3732" s="3" t="str">
        <f>"Who was Charles Darwin?"</f>
        <v>Who was Charles Darwin?</v>
      </c>
      <c r="F3732" s="3" t="str">
        <f>"by Deborah Hopkinson ; illustrated by Nancy Harrison"</f>
        <v>by Deborah Hopkinson ; illustrated by Nancy Harrison</v>
      </c>
      <c r="G3732" s="3" t="str">
        <f>"Grosset &amp; Dunlap"</f>
        <v>Grosset &amp; Dunlap</v>
      </c>
      <c r="H3732" s="2" t="str">
        <f>"2005"</f>
        <v>2005</v>
      </c>
      <c r="I3732" s="3" t="str">
        <f>""</f>
        <v/>
      </c>
    </row>
    <row r="3733" spans="1:9" x14ac:dyDescent="0.3">
      <c r="A3733" s="2">
        <v>3732</v>
      </c>
      <c r="B3733" s="4" t="s">
        <v>52</v>
      </c>
      <c r="C3733" s="3" t="str">
        <f>"TFC000002470"</f>
        <v>TFC000002470</v>
      </c>
      <c r="D3733" s="3" t="str">
        <f>"F900-20-2776-(AR 5.1)"</f>
        <v>F900-20-2776-(AR 5.1)</v>
      </c>
      <c r="E3733" s="3" t="str">
        <f>"Who was Johnny Appleseed?"</f>
        <v>Who was Johnny Appleseed?</v>
      </c>
      <c r="F3733" s="3" t="str">
        <f>"by Joan Holub ; illustrated by Anna DiVito"</f>
        <v>by Joan Holub ; illustrated by Anna DiVito</v>
      </c>
      <c r="G3733" s="3" t="str">
        <f>"Grosset &amp; Dunlap"</f>
        <v>Grosset &amp; Dunlap</v>
      </c>
      <c r="H3733" s="2" t="str">
        <f>"2005"</f>
        <v>2005</v>
      </c>
      <c r="I3733" s="3" t="str">
        <f>""</f>
        <v/>
      </c>
    </row>
    <row r="3734" spans="1:9" x14ac:dyDescent="0.3">
      <c r="A3734" s="2">
        <v>3733</v>
      </c>
      <c r="B3734" s="4" t="s">
        <v>52</v>
      </c>
      <c r="C3734" s="3" t="str">
        <f>"TFC000002471"</f>
        <v>TFC000002471</v>
      </c>
      <c r="D3734" s="3" t="str">
        <f>"F900-20-2777-(AR 5.1)"</f>
        <v>F900-20-2777-(AR 5.1)</v>
      </c>
      <c r="E3734" s="3" t="str">
        <f>"Who is Maria Tallchief?"</f>
        <v>Who is Maria Tallchief?</v>
      </c>
      <c r="F3734" s="3" t="str">
        <f>"by Catherine Gourley ; illustrated by Val Paul Taylor"</f>
        <v>by Catherine Gourley ; illustrated by Val Paul Taylor</v>
      </c>
      <c r="G3734" s="3" t="str">
        <f>"Grosset &amp; Dunlap"</f>
        <v>Grosset &amp; Dunlap</v>
      </c>
      <c r="H3734" s="2" t="str">
        <f>"2002"</f>
        <v>2002</v>
      </c>
      <c r="I3734" s="3" t="str">
        <f>""</f>
        <v/>
      </c>
    </row>
    <row r="3735" spans="1:9" x14ac:dyDescent="0.3">
      <c r="A3735" s="2">
        <v>3734</v>
      </c>
      <c r="B3735" s="4" t="s">
        <v>52</v>
      </c>
      <c r="C3735" s="3" t="str">
        <f>"TFC000002472"</f>
        <v>TFC000002472</v>
      </c>
      <c r="D3735" s="3" t="str">
        <f>"F900-20-2778-(AR 5.1)"</f>
        <v>F900-20-2778-(AR 5.1)</v>
      </c>
      <c r="E3735" s="3" t="str">
        <f>"Wilma unlimited : how Wilma Rudolph became the world's fastest woman"</f>
        <v>Wilma unlimited : how Wilma Rudolph became the world's fastest woman</v>
      </c>
      <c r="F3735" s="3" t="str">
        <f>"Kathleen Krull ; illustrated by David Diaz"</f>
        <v>Kathleen Krull ; illustrated by David Diaz</v>
      </c>
      <c r="G3735" s="3" t="str">
        <f>"Houghton Mifflin Harcourt"</f>
        <v>Houghton Mifflin Harcourt</v>
      </c>
      <c r="H3735" s="2" t="str">
        <f>"1996"</f>
        <v>1996</v>
      </c>
      <c r="I3735" s="3" t="str">
        <f>""</f>
        <v/>
      </c>
    </row>
    <row r="3736" spans="1:9" x14ac:dyDescent="0.3">
      <c r="A3736" s="2">
        <v>3735</v>
      </c>
      <c r="B3736" s="4" t="s">
        <v>52</v>
      </c>
      <c r="C3736" s="3" t="str">
        <f>"TFC000002914"</f>
        <v>TFC000002914</v>
      </c>
      <c r="D3736" s="3" t="str">
        <f>"F300-20-2743-(AR 5.1)"</f>
        <v>F300-20-2743-(AR 5.1)</v>
      </c>
      <c r="E3736" s="3" t="str">
        <f>"(The)shocking truth about energy"</f>
        <v>(The)shocking truth about energy</v>
      </c>
      <c r="F3736" s="3" t="str">
        <f>"written and illustrated by Loreen Leedy"</f>
        <v>written and illustrated by Loreen Leedy</v>
      </c>
      <c r="G3736" s="3" t="str">
        <f>"Holiday House"</f>
        <v>Holiday House</v>
      </c>
      <c r="H3736" s="2" t="str">
        <f>"2011"</f>
        <v>2011</v>
      </c>
      <c r="I3736" s="3" t="str">
        <f>""</f>
        <v/>
      </c>
    </row>
    <row r="3737" spans="1:9" x14ac:dyDescent="0.3">
      <c r="A3737" s="2">
        <v>3736</v>
      </c>
      <c r="B3737" s="4" t="s">
        <v>52</v>
      </c>
      <c r="C3737" s="3" t="str">
        <f>"TFC000003183"</f>
        <v>TFC000003183</v>
      </c>
      <c r="D3737" s="3" t="str">
        <f>"F800-21-0113-(AR 5.1)"</f>
        <v>F800-21-0113-(AR 5.1)</v>
      </c>
      <c r="E3737" s="3" t="str">
        <f>"(The)hammer of Thor"</f>
        <v>(The)hammer of Thor</v>
      </c>
      <c r="F3737" s="3" t="str">
        <f>"by Rick Riordan"</f>
        <v>by Rick Riordan</v>
      </c>
      <c r="G3737" s="3" t="str">
        <f>"Disney·Hyperion"</f>
        <v>Disney·Hyperion</v>
      </c>
      <c r="H3737" s="2" t="str">
        <f>"2018"</f>
        <v>2018</v>
      </c>
      <c r="I3737" s="3" t="str">
        <f>""</f>
        <v/>
      </c>
    </row>
    <row r="3738" spans="1:9" x14ac:dyDescent="0.3">
      <c r="A3738" s="2">
        <v>3737</v>
      </c>
      <c r="B3738" s="4" t="s">
        <v>52</v>
      </c>
      <c r="C3738" s="3" t="str">
        <f>"TFC000004094"</f>
        <v>TFC000004094</v>
      </c>
      <c r="D3738" s="3" t="str">
        <f>"F800-21-0860-(AR 5.1)"</f>
        <v>F800-21-0860-(AR 5.1)</v>
      </c>
      <c r="E3738" s="3" t="str">
        <f>"(The)Elephant in the room"</f>
        <v>(The)Elephant in the room</v>
      </c>
      <c r="F3738" s="3" t="str">
        <f>"by Holly Goldberg Sloan"</f>
        <v>by Holly Goldberg Sloan</v>
      </c>
      <c r="G3738" s="3" t="str">
        <f>"Dial"</f>
        <v>Dial</v>
      </c>
      <c r="H3738" s="2" t="str">
        <f>"2021"</f>
        <v>2021</v>
      </c>
      <c r="I3738" s="3" t="str">
        <f>""</f>
        <v/>
      </c>
    </row>
    <row r="3739" spans="1:9" x14ac:dyDescent="0.3">
      <c r="A3739" s="2">
        <v>3738</v>
      </c>
      <c r="B3739" s="4" t="s">
        <v>52</v>
      </c>
      <c r="C3739" s="3" t="str">
        <f>"TFC000003412"</f>
        <v>TFC000003412</v>
      </c>
      <c r="D3739" s="3" t="str">
        <f>"F800-21-0855-(AR 5.1)"</f>
        <v>F800-21-0855-(AR 5.1)</v>
      </c>
      <c r="E3739" s="3" t="str">
        <f>"Splendors and glooms"</f>
        <v>Splendors and glooms</v>
      </c>
      <c r="F3739" s="3" t="str">
        <f>"by Laura Amy Schlitz"</f>
        <v>by Laura Amy Schlitz</v>
      </c>
      <c r="G3739" s="3" t="str">
        <f>"Candlewick"</f>
        <v>Candlewick</v>
      </c>
      <c r="H3739" s="2" t="str">
        <f>"2012"</f>
        <v>2012</v>
      </c>
      <c r="I3739" s="3" t="str">
        <f>""</f>
        <v/>
      </c>
    </row>
    <row r="3740" spans="1:9" x14ac:dyDescent="0.3">
      <c r="A3740" s="2">
        <v>3739</v>
      </c>
      <c r="B3740" s="4" t="s">
        <v>52</v>
      </c>
      <c r="C3740" s="3" t="str">
        <f>"TFC000003414"</f>
        <v>TFC000003414</v>
      </c>
      <c r="D3740" s="3" t="str">
        <f>"F800-21-0857-(AR 5.1)"</f>
        <v>F800-21-0857-(AR 5.1)</v>
      </c>
      <c r="E3740" s="3" t="str">
        <f>"(The)house of the scorpion"</f>
        <v>(The)house of the scorpion</v>
      </c>
      <c r="F3740" s="3" t="str">
        <f>"novel by Nancy Farmer"</f>
        <v>novel by Nancy Farmer</v>
      </c>
      <c r="G3740" s="3" t="str">
        <f>"Simon Pulse"</f>
        <v>Simon Pulse</v>
      </c>
      <c r="H3740" s="2" t="str">
        <f>"2004"</f>
        <v>2004</v>
      </c>
      <c r="I3740" s="3" t="str">
        <f>""</f>
        <v/>
      </c>
    </row>
    <row r="3741" spans="1:9" x14ac:dyDescent="0.3">
      <c r="A3741" s="2">
        <v>3740</v>
      </c>
      <c r="B3741" s="4" t="s">
        <v>52</v>
      </c>
      <c r="C3741" s="3" t="str">
        <f>"TFC000003506"</f>
        <v>TFC000003506</v>
      </c>
      <c r="D3741" s="3" t="str">
        <f>"F400-21-0853-(AR 5.1)"</f>
        <v>F400-21-0853-(AR 5.1)</v>
      </c>
      <c r="E3741" s="3" t="str">
        <f>"What if you had an animal tail!?"</f>
        <v>What if you had an animal tail!?</v>
      </c>
      <c r="F3741" s="3" t="str">
        <f>"by Sandra Markle, illustrated by Howard McWilliam"</f>
        <v>by Sandra Markle, illustrated by Howard McWilliam</v>
      </c>
      <c r="G3741" s="3" t="str">
        <f>"Scholastic Inc"</f>
        <v>Scholastic Inc</v>
      </c>
      <c r="H3741" s="2" t="str">
        <f>"2018"</f>
        <v>2018</v>
      </c>
      <c r="I3741" s="3" t="str">
        <f>""</f>
        <v/>
      </c>
    </row>
    <row r="3742" spans="1:9" x14ac:dyDescent="0.3">
      <c r="A3742" s="2">
        <v>3741</v>
      </c>
      <c r="B3742" s="4" t="s">
        <v>52</v>
      </c>
      <c r="C3742" s="3" t="str">
        <f>"TFC000003638"</f>
        <v>TFC000003638</v>
      </c>
      <c r="D3742" s="3" t="str">
        <f>"F800-21-0858-(AR 5.1)"</f>
        <v>F800-21-0858-(AR 5.1)</v>
      </c>
      <c r="E3742" s="3" t="str">
        <f>"Mossflower"</f>
        <v>Mossflower</v>
      </c>
      <c r="F3742" s="3" t="str">
        <f>"by Brian Jacques ; illustrated by Gary Chalk"</f>
        <v>by Brian Jacques ; illustrated by Gary Chalk</v>
      </c>
      <c r="G3742" s="3" t="str">
        <f>"Firebird"</f>
        <v>Firebird</v>
      </c>
      <c r="H3742" s="2" t="str">
        <f>"2002"</f>
        <v>2002</v>
      </c>
      <c r="I3742" s="3" t="str">
        <f>""</f>
        <v/>
      </c>
    </row>
    <row r="3743" spans="1:9" x14ac:dyDescent="0.3">
      <c r="A3743" s="2">
        <v>3742</v>
      </c>
      <c r="B3743" s="4" t="s">
        <v>52</v>
      </c>
      <c r="C3743" s="3" t="str">
        <f>"TFC000003663"</f>
        <v>TFC000003663</v>
      </c>
      <c r="D3743" s="3" t="str">
        <f>"F800-21-0859-(AR 5.1)"</f>
        <v>F800-21-0859-(AR 5.1)</v>
      </c>
      <c r="E3743" s="3" t="str">
        <f>"(The)hidden kingdom. 3"</f>
        <v>(The)hidden kingdom. 3</v>
      </c>
      <c r="F3743" s="3" t="str">
        <f>"by Tui T. Sutherland"</f>
        <v>by Tui T. Sutherland</v>
      </c>
      <c r="G3743" s="3" t="str">
        <f>"Scholastic Press"</f>
        <v>Scholastic Press</v>
      </c>
      <c r="H3743" s="2" t="str">
        <f>"2014"</f>
        <v>2014</v>
      </c>
      <c r="I3743" s="3" t="str">
        <f>""</f>
        <v/>
      </c>
    </row>
    <row r="3744" spans="1:9" x14ac:dyDescent="0.3">
      <c r="A3744" s="2">
        <v>3743</v>
      </c>
      <c r="B3744" s="4" t="s">
        <v>52</v>
      </c>
      <c r="C3744" s="3" t="str">
        <f>"TFC000004090"</f>
        <v>TFC000004090</v>
      </c>
      <c r="D3744" s="3" t="str">
        <f>"F900-21-0861-(AR 5.1)"</f>
        <v>F900-21-0861-(AR 5.1)</v>
      </c>
      <c r="E3744" s="3" t="str">
        <f>"Taylor Swift"</f>
        <v>Taylor Swift</v>
      </c>
      <c r="F3744" s="3" t="str">
        <f>"by Elsie Olson"</f>
        <v>by Elsie Olson</v>
      </c>
      <c r="G3744" s="3" t="str">
        <f>"Checkerboard Library"</f>
        <v>Checkerboard Library</v>
      </c>
      <c r="H3744" s="2" t="str">
        <f>"2022"</f>
        <v>2022</v>
      </c>
      <c r="I3744" s="3" t="str">
        <f>""</f>
        <v/>
      </c>
    </row>
    <row r="3745" spans="1:9" x14ac:dyDescent="0.3">
      <c r="A3745" s="2">
        <v>3744</v>
      </c>
      <c r="B3745" s="4" t="s">
        <v>52</v>
      </c>
      <c r="C3745" s="3" t="str">
        <f>"TFC000004091"</f>
        <v>TFC000004091</v>
      </c>
      <c r="D3745" s="3" t="str">
        <f>"F500-21-0854-(AR 5.1)"</f>
        <v>F500-21-0854-(AR 5.1)</v>
      </c>
      <c r="E3745" s="3" t="str">
        <f>"Sneakers : A Graphic History"</f>
        <v>Sneakers : A Graphic History</v>
      </c>
      <c r="F3745" s="3" t="str">
        <f>"by Blake Hoena, illustrated by Ceej Rowland"</f>
        <v>by Blake Hoena, illustrated by Ceej Rowland</v>
      </c>
      <c r="G3745" s="3" t="str">
        <f>"Graphic Universe"</f>
        <v>Graphic Universe</v>
      </c>
      <c r="H3745" s="2" t="str">
        <f>"2021"</f>
        <v>2021</v>
      </c>
      <c r="I3745" s="3" t="str">
        <f>""</f>
        <v/>
      </c>
    </row>
    <row r="3746" spans="1:9" x14ac:dyDescent="0.3">
      <c r="A3746" s="2">
        <v>3745</v>
      </c>
      <c r="B3746" s="4" t="s">
        <v>52</v>
      </c>
      <c r="C3746" s="3" t="str">
        <f>"TFC000004092"</f>
        <v>TFC000004092</v>
      </c>
      <c r="D3746" s="3" t="str">
        <f>"F900-21-0862-(AR 5.1)"</f>
        <v>F900-21-0862-(AR 5.1)</v>
      </c>
      <c r="E3746" s="3" t="str">
        <f>"Michael Jordan"</f>
        <v>Michael Jordan</v>
      </c>
      <c r="F3746" s="3" t="str">
        <f>"by Rebecca Felix"</f>
        <v>by Rebecca Felix</v>
      </c>
      <c r="G3746" s="3" t="str">
        <f>"Abdo"</f>
        <v>Abdo</v>
      </c>
      <c r="H3746" s="2" t="str">
        <f>"2021"</f>
        <v>2021</v>
      </c>
      <c r="I3746" s="3" t="str">
        <f>""</f>
        <v/>
      </c>
    </row>
    <row r="3747" spans="1:9" x14ac:dyDescent="0.3">
      <c r="A3747" s="2">
        <v>3746</v>
      </c>
      <c r="B3747" s="4" t="s">
        <v>52</v>
      </c>
      <c r="C3747" s="3" t="str">
        <f>"TFC000004093"</f>
        <v>TFC000004093</v>
      </c>
      <c r="D3747" s="3" t="str">
        <f>"F900-21-0863-(AR 5.1)"</f>
        <v>F900-21-0863-(AR 5.1)</v>
      </c>
      <c r="E3747" s="3" t="str">
        <f>"(The)Leaf detective : How Margaret Lowman uncovered secrets in the rainforest"</f>
        <v>(The)Leaf detective : How Margaret Lowman uncovered secrets in the rainforest</v>
      </c>
      <c r="F3747" s="3" t="str">
        <f>"Heather Lang, illustrated by Jana Christy"</f>
        <v>Heather Lang, illustrated by Jana Christy</v>
      </c>
      <c r="G3747" s="3" t="str">
        <f>"Calkins Creek Books"</f>
        <v>Calkins Creek Books</v>
      </c>
      <c r="H3747" s="2" t="str">
        <f>"2021"</f>
        <v>2021</v>
      </c>
      <c r="I3747" s="3" t="str">
        <f>""</f>
        <v/>
      </c>
    </row>
    <row r="3748" spans="1:9" x14ac:dyDescent="0.3">
      <c r="A3748" s="2">
        <v>3747</v>
      </c>
      <c r="B3748" s="4" t="s">
        <v>52</v>
      </c>
      <c r="C3748" s="3" t="str">
        <f>"TFC000004294"</f>
        <v>TFC000004294</v>
      </c>
      <c r="D3748" s="3" t="str">
        <f>"F800-22-0071-(AR 5.1)"</f>
        <v>F800-22-0071-(AR 5.1)</v>
      </c>
      <c r="E3748" s="3" t="str">
        <f>"Requiem"</f>
        <v>Requiem</v>
      </c>
      <c r="F3748" s="3" t="str">
        <f>"by Lauren Oliver"</f>
        <v>by Lauren Oliver</v>
      </c>
      <c r="G3748" s="3" t="str">
        <f>"Harper"</f>
        <v>Harper</v>
      </c>
      <c r="H3748" s="2" t="str">
        <f>"2016"</f>
        <v>2016</v>
      </c>
      <c r="I3748" s="3" t="str">
        <f>""</f>
        <v/>
      </c>
    </row>
    <row r="3749" spans="1:9" x14ac:dyDescent="0.3">
      <c r="A3749" s="2">
        <v>3748</v>
      </c>
      <c r="B3749" s="4" t="s">
        <v>52</v>
      </c>
      <c r="C3749" s="3" t="str">
        <f>"TFC000004826"</f>
        <v>TFC000004826</v>
      </c>
      <c r="D3749" s="3" t="str">
        <f>"F800-22-0563-(AR 5.1)"</f>
        <v>F800-22-0563-(AR 5.1)</v>
      </c>
      <c r="E3749" s="3" t="str">
        <f>"(The)Ogress and the orphans"</f>
        <v>(The)Ogress and the orphans</v>
      </c>
      <c r="F3749" s="3" t="str">
        <f>"by Kelly Barnhill"</f>
        <v>by Kelly Barnhill</v>
      </c>
      <c r="G3749" s="3" t="str">
        <f>"Algonquin Books"</f>
        <v>Algonquin Books</v>
      </c>
      <c r="H3749" s="2" t="str">
        <f>"2022"</f>
        <v>2022</v>
      </c>
      <c r="I3749" s="3" t="str">
        <f>""</f>
        <v/>
      </c>
    </row>
    <row r="3750" spans="1:9" x14ac:dyDescent="0.3">
      <c r="A3750" s="2">
        <v>3749</v>
      </c>
      <c r="B3750" s="4" t="s">
        <v>52</v>
      </c>
      <c r="C3750" s="3" t="str">
        <f>"TFC000004358"</f>
        <v>TFC000004358</v>
      </c>
      <c r="D3750" s="3" t="str">
        <f>"F800-22-0167-(AR5.1)"</f>
        <v>F800-22-0167-(AR5.1)</v>
      </c>
      <c r="E3750" s="3" t="str">
        <f>"Dork Diaries. 14, Tales from a Not-So-Best Friend Forever"</f>
        <v>Dork Diaries. 14, Tales from a Not-So-Best Friend Forever</v>
      </c>
      <c r="F3750" s="3" t="str">
        <f>"by Rachel Renee Russell, Kikki Russell"</f>
        <v>by Rachel Renee Russell, Kikki Russell</v>
      </c>
      <c r="G3750" s="3" t="str">
        <f>"Aladdin Paperbacks"</f>
        <v>Aladdin Paperbacks</v>
      </c>
      <c r="H3750" s="2" t="str">
        <f>"2019"</f>
        <v>2019</v>
      </c>
      <c r="I3750" s="3" t="str">
        <f>""</f>
        <v/>
      </c>
    </row>
    <row r="3751" spans="1:9" x14ac:dyDescent="0.3">
      <c r="A3751" s="2">
        <v>3750</v>
      </c>
      <c r="B3751" s="4" t="s">
        <v>52</v>
      </c>
      <c r="C3751" s="3" t="str">
        <f>"TFC000004875"</f>
        <v>TFC000004875</v>
      </c>
      <c r="D3751" s="3" t="str">
        <f>"F800-22-0605-(AR5.1)"</f>
        <v>F800-22-0605-(AR5.1)</v>
      </c>
      <c r="E3751" s="3" t="str">
        <f>"Kaleidoscope"</f>
        <v>Kaleidoscope</v>
      </c>
      <c r="F3751" s="3" t="str">
        <f>"by Brian Selznick"</f>
        <v>by Brian Selznick</v>
      </c>
      <c r="G3751" s="3" t="str">
        <f>"Scholastic Press"</f>
        <v>Scholastic Press</v>
      </c>
      <c r="H3751" s="2" t="str">
        <f>"2021"</f>
        <v>2021</v>
      </c>
      <c r="I3751" s="3" t="str">
        <f>""</f>
        <v/>
      </c>
    </row>
    <row r="3752" spans="1:9" x14ac:dyDescent="0.3">
      <c r="A3752" s="2">
        <v>3751</v>
      </c>
      <c r="B3752" s="4" t="s">
        <v>52</v>
      </c>
      <c r="C3752" s="3" t="str">
        <f>"TFC000004622"</f>
        <v>TFC000004622</v>
      </c>
      <c r="D3752" s="3" t="str">
        <f>"F800-22-0431-(AR5.1)"</f>
        <v>F800-22-0431-(AR5.1)</v>
      </c>
      <c r="E3752" s="3" t="str">
        <f>"One Great Lie"</f>
        <v>One Great Lie</v>
      </c>
      <c r="F3752" s="3" t="str">
        <f>"by Deb Caletti"</f>
        <v>by Deb Caletti</v>
      </c>
      <c r="G3752" s="3" t="str">
        <f>"Atheneum Books for Young Readers"</f>
        <v>Atheneum Books for Young Readers</v>
      </c>
      <c r="H3752" s="2" t="str">
        <f>"2021"</f>
        <v>2021</v>
      </c>
      <c r="I3752" s="3" t="str">
        <f>""</f>
        <v/>
      </c>
    </row>
    <row r="3753" spans="1:9" x14ac:dyDescent="0.3">
      <c r="A3753" s="2">
        <v>3752</v>
      </c>
      <c r="B3753" s="4" t="s">
        <v>52</v>
      </c>
      <c r="C3753" s="3" t="str">
        <f>"TFC000004621"</f>
        <v>TFC000004621</v>
      </c>
      <c r="D3753" s="3" t="str">
        <f>"F800-22-0430-(AR5.1)"</f>
        <v>F800-22-0430-(AR5.1)</v>
      </c>
      <c r="E3753" s="3" t="str">
        <f>"Felix Ever After"</f>
        <v>Felix Ever After</v>
      </c>
      <c r="F3753" s="3" t="str">
        <f>"by Kacen Callender"</f>
        <v>by Kacen Callender</v>
      </c>
      <c r="G3753" s="3" t="str">
        <f>"Thorndike Striving Reader"</f>
        <v>Thorndike Striving Reader</v>
      </c>
      <c r="H3753" s="2" t="str">
        <f>"2021"</f>
        <v>2021</v>
      </c>
      <c r="I3753" s="3" t="str">
        <f>""</f>
        <v/>
      </c>
    </row>
    <row r="3754" spans="1:9" x14ac:dyDescent="0.3">
      <c r="A3754" s="2">
        <v>3753</v>
      </c>
      <c r="B3754" s="4" t="s">
        <v>52</v>
      </c>
      <c r="C3754" s="3" t="str">
        <f>"TFC000004620"</f>
        <v>TFC000004620</v>
      </c>
      <c r="D3754" s="3" t="str">
        <f>"F800-22-0429-(AR5.1)"</f>
        <v>F800-22-0429-(AR5.1)</v>
      </c>
      <c r="E3754" s="3" t="str">
        <f>"Traitor : A Novel of World War II"</f>
        <v>Traitor : A Novel of World War II</v>
      </c>
      <c r="F3754" s="3" t="str">
        <f>"by Amanda McCrina"</f>
        <v>by Amanda McCrina</v>
      </c>
      <c r="G3754" s="3" t="str">
        <f>"Farrar Straus &amp; Giroux"</f>
        <v>Farrar Straus &amp; Giroux</v>
      </c>
      <c r="H3754" s="2" t="str">
        <f>"2020"</f>
        <v>2020</v>
      </c>
      <c r="I3754" s="3" t="str">
        <f>""</f>
        <v/>
      </c>
    </row>
    <row r="3755" spans="1:9" x14ac:dyDescent="0.3">
      <c r="A3755" s="2">
        <v>3754</v>
      </c>
      <c r="B3755" s="4" t="s">
        <v>52</v>
      </c>
      <c r="C3755" s="3" t="str">
        <f>"TFC000004571"</f>
        <v>TFC000004571</v>
      </c>
      <c r="D3755" s="3" t="str">
        <f>"F800-22-0380-(AR5.1)"</f>
        <v>F800-22-0380-(AR5.1)</v>
      </c>
      <c r="E3755" s="3" t="str">
        <f>"Defending Champ"</f>
        <v>Defending Champ</v>
      </c>
      <c r="F3755" s="3" t="str">
        <f>"by Mike Lupica"</f>
        <v>by Mike Lupica</v>
      </c>
      <c r="G3755" s="3" t="str">
        <f>"Philomel Books"</f>
        <v>Philomel Books</v>
      </c>
      <c r="H3755" s="2" t="str">
        <f>"2021"</f>
        <v>2021</v>
      </c>
      <c r="I3755" s="3" t="str">
        <f>""</f>
        <v/>
      </c>
    </row>
    <row r="3756" spans="1:9" x14ac:dyDescent="0.3">
      <c r="A3756" s="2">
        <v>3755</v>
      </c>
      <c r="B3756" s="4" t="s">
        <v>52</v>
      </c>
      <c r="C3756" s="3" t="str">
        <f>"TFC000004572"</f>
        <v>TFC000004572</v>
      </c>
      <c r="D3756" s="3" t="str">
        <f>"F800-22-0381-(AR5.1)"</f>
        <v>F800-22-0381-(AR5.1)</v>
      </c>
      <c r="E3756" s="3" t="str">
        <f>"Can't Be Tamed"</f>
        <v>Can't Be Tamed</v>
      </c>
      <c r="F3756" s="3" t="str">
        <f>"by Yamile Saied Mendez"</f>
        <v>by Yamile Saied Mendez</v>
      </c>
      <c r="G3756" s="3" t="str">
        <f>"Scholastic Inc"</f>
        <v>Scholastic Inc</v>
      </c>
      <c r="H3756" s="2" t="str">
        <f>"2022"</f>
        <v>2022</v>
      </c>
      <c r="I3756" s="3" t="str">
        <f>""</f>
        <v/>
      </c>
    </row>
    <row r="3757" spans="1:9" x14ac:dyDescent="0.3">
      <c r="A3757" s="2">
        <v>3756</v>
      </c>
      <c r="B3757" s="4" t="s">
        <v>52</v>
      </c>
      <c r="C3757" s="3" t="str">
        <f>"TFC000004843"</f>
        <v>TFC000004843</v>
      </c>
      <c r="D3757" s="3" t="str">
        <f>"F800-22-0573-(AR5.1)"</f>
        <v>F800-22-0573-(AR5.1)</v>
      </c>
      <c r="E3757" s="3" t="str">
        <f>"(The)Wild robot escapes"</f>
        <v>(The)Wild robot escapes</v>
      </c>
      <c r="F3757" s="3" t="str">
        <f>"Words and pictures by Peter Brown"</f>
        <v>Words and pictures by Peter Brown</v>
      </c>
      <c r="G3757" s="3" t="str">
        <f>"Litte, Brown and Company"</f>
        <v>Litte, Brown and Company</v>
      </c>
      <c r="H3757" s="2" t="str">
        <f>"2020"</f>
        <v>2020</v>
      </c>
      <c r="I3757" s="3" t="str">
        <f>""</f>
        <v/>
      </c>
    </row>
    <row r="3758" spans="1:9" x14ac:dyDescent="0.3">
      <c r="A3758" s="2">
        <v>3757</v>
      </c>
      <c r="B3758" s="4" t="s">
        <v>52</v>
      </c>
      <c r="C3758" s="3" t="str">
        <f>"TFC000004898"</f>
        <v>TFC000004898</v>
      </c>
      <c r="D3758" s="3" t="str">
        <f>"F800-23-0002-(AR5.1)"</f>
        <v>F800-23-0002-(AR5.1)</v>
      </c>
      <c r="E3758" s="3" t="str">
        <f>"Five feet apart"</f>
        <v>Five feet apart</v>
      </c>
      <c r="F3758" s="3" t="str">
        <f>"by Rachael Lippincott"</f>
        <v>by Rachael Lippincott</v>
      </c>
      <c r="G3758" s="3" t="str">
        <f>"Simon &amp; Schuster"</f>
        <v>Simon &amp; Schuster</v>
      </c>
      <c r="H3758" s="2" t="str">
        <f>"2018"</f>
        <v>2018</v>
      </c>
      <c r="I3758" s="3" t="str">
        <f>""</f>
        <v/>
      </c>
    </row>
    <row r="3759" spans="1:9" x14ac:dyDescent="0.3">
      <c r="A3759" s="2">
        <v>3758</v>
      </c>
      <c r="B3759" s="4">
        <v>5.0999999999999996</v>
      </c>
      <c r="C3759" s="3" t="str">
        <f>"TFC000004726"</f>
        <v>TFC000004726</v>
      </c>
      <c r="D3759" s="3" t="str">
        <f>"F800-22-0524-2(AR 5.1)"</f>
        <v>F800-22-0524-2(AR 5.1)</v>
      </c>
      <c r="E3759" s="3" t="str">
        <f>"Dork diaries. 2, Party time"</f>
        <v>Dork diaries. 2, Party time</v>
      </c>
      <c r="F3759" s="3" t="str">
        <f>"by Rachel Renee Russell"</f>
        <v>by Rachel Renee Russell</v>
      </c>
      <c r="G3759" s="3" t="str">
        <f>"Simon &amp; Schuster"</f>
        <v>Simon &amp; Schuster</v>
      </c>
      <c r="H3759" s="2" t="str">
        <f>"2015"</f>
        <v>2015</v>
      </c>
      <c r="I3759" s="3" t="str">
        <f>""</f>
        <v/>
      </c>
    </row>
    <row r="3760" spans="1:9" x14ac:dyDescent="0.3">
      <c r="A3760" s="2">
        <v>3759</v>
      </c>
      <c r="B3760" s="4" t="s">
        <v>53</v>
      </c>
      <c r="C3760" s="3" t="str">
        <f>"TFC000003169"</f>
        <v>TFC000003169</v>
      </c>
      <c r="D3760" s="3" t="str">
        <f>"F800-20-2808-(AR 5.2)"</f>
        <v>F800-20-2808-(AR 5.2)</v>
      </c>
      <c r="E3760" s="3" t="str">
        <f>"My side of the mountain"</f>
        <v>My side of the mountain</v>
      </c>
      <c r="F3760" s="3" t="str">
        <f>"written and illustrated by Jean Craighead George"</f>
        <v>written and illustrated by Jean Craighead George</v>
      </c>
      <c r="G3760" s="3" t="str">
        <f>"Puffin Books"</f>
        <v>Puffin Books</v>
      </c>
      <c r="H3760" s="2" t="str">
        <f>"2004"</f>
        <v>2004</v>
      </c>
      <c r="I3760" s="3" t="str">
        <f>""</f>
        <v/>
      </c>
    </row>
    <row r="3761" spans="1:9" x14ac:dyDescent="0.3">
      <c r="A3761" s="2">
        <v>3760</v>
      </c>
      <c r="B3761" s="4" t="s">
        <v>53</v>
      </c>
      <c r="C3761" s="3" t="str">
        <f>"TFC000003036"</f>
        <v>TFC000003036</v>
      </c>
      <c r="D3761" s="3" t="str">
        <f>"F800-20-2804-(AR 5.2)"</f>
        <v>F800-20-2804-(AR 5.2)</v>
      </c>
      <c r="E3761" s="3" t="str">
        <f>"Theodore boone : kid lawyer"</f>
        <v>Theodore boone : kid lawyer</v>
      </c>
      <c r="F3761" s="3" t="str">
        <f>"John Grisham"</f>
        <v>John Grisham</v>
      </c>
      <c r="G3761" s="3" t="str">
        <f>"Puffin Books"</f>
        <v>Puffin Books</v>
      </c>
      <c r="H3761" s="2" t="str">
        <f>"2011"</f>
        <v>2011</v>
      </c>
      <c r="I3761" s="3" t="str">
        <f>""</f>
        <v/>
      </c>
    </row>
    <row r="3762" spans="1:9" x14ac:dyDescent="0.3">
      <c r="A3762" s="2">
        <v>3761</v>
      </c>
      <c r="B3762" s="4" t="s">
        <v>53</v>
      </c>
      <c r="C3762" s="3" t="str">
        <f>"TFC000002473"</f>
        <v>TFC000002473</v>
      </c>
      <c r="D3762" s="3" t="str">
        <f>"F400-20-2779-(AR 5.2)"</f>
        <v>F400-20-2779-(AR 5.2)</v>
      </c>
      <c r="E3762" s="3" t="str">
        <f>"Fun with Roman numerals"</f>
        <v>Fun with Roman numerals</v>
      </c>
      <c r="F3762" s="3" t="str">
        <f>"by David A. Adler ; illustrated by Edward Miller III"</f>
        <v>by David A. Adler ; illustrated by Edward Miller III</v>
      </c>
      <c r="G3762" s="3" t="str">
        <f>"Holiday House"</f>
        <v>Holiday House</v>
      </c>
      <c r="H3762" s="2" t="str">
        <f>"2008"</f>
        <v>2008</v>
      </c>
      <c r="I3762" s="3" t="str">
        <f>""</f>
        <v/>
      </c>
    </row>
    <row r="3763" spans="1:9" x14ac:dyDescent="0.3">
      <c r="A3763" s="2">
        <v>3762</v>
      </c>
      <c r="B3763" s="4" t="s">
        <v>53</v>
      </c>
      <c r="C3763" s="3" t="str">
        <f>"TFC000002474"</f>
        <v>TFC000002474</v>
      </c>
      <c r="D3763" s="3" t="str">
        <f>"F400-20-2780-(AR 5.2)"</f>
        <v>F400-20-2780-(AR 5.2)</v>
      </c>
      <c r="E3763" s="3" t="str">
        <f>"Dinosaur discoveries"</f>
        <v>Dinosaur discoveries</v>
      </c>
      <c r="F3763" s="3" t="str">
        <f>"by Gail Gibbons"</f>
        <v>by Gail Gibbons</v>
      </c>
      <c r="G3763" s="3" t="str">
        <f>"Holiday House"</f>
        <v>Holiday House</v>
      </c>
      <c r="H3763" s="2" t="str">
        <f>"2018"</f>
        <v>2018</v>
      </c>
      <c r="I3763" s="3" t="str">
        <f>""</f>
        <v/>
      </c>
    </row>
    <row r="3764" spans="1:9" x14ac:dyDescent="0.3">
      <c r="A3764" s="2">
        <v>3763</v>
      </c>
      <c r="B3764" s="4" t="s">
        <v>53</v>
      </c>
      <c r="C3764" s="3" t="str">
        <f>"TFC000002475"</f>
        <v>TFC000002475</v>
      </c>
      <c r="D3764" s="3" t="str">
        <f>"F400-20-2781-(AR 5.2)"</f>
        <v>F400-20-2781-(AR 5.2)</v>
      </c>
      <c r="E3764" s="3" t="str">
        <f>"How to clean a hippopotamus : a look at unusual animal partnerships"</f>
        <v>How to clean a hippopotamus : a look at unusual animal partnerships</v>
      </c>
      <c r="F3764" s="3" t="str">
        <f>"Steve Jenkins, Robin Page"</f>
        <v>Steve Jenkins, Robin Page</v>
      </c>
      <c r="G3764" s="3" t="str">
        <f>"Houghton Mifflin Harcourt"</f>
        <v>Houghton Mifflin Harcourt</v>
      </c>
      <c r="H3764" s="2" t="str">
        <f>"2010"</f>
        <v>2010</v>
      </c>
      <c r="I3764" s="3" t="str">
        <f>""</f>
        <v/>
      </c>
    </row>
    <row r="3765" spans="1:9" x14ac:dyDescent="0.3">
      <c r="A3765" s="2">
        <v>3764</v>
      </c>
      <c r="B3765" s="4" t="s">
        <v>53</v>
      </c>
      <c r="C3765" s="3" t="str">
        <f>"TFC000002476"</f>
        <v>TFC000002476</v>
      </c>
      <c r="D3765" s="3" t="str">
        <f>"F400-20-2782-(AR 5.2)"</f>
        <v>F400-20-2782-(AR 5.2)</v>
      </c>
      <c r="E3765" s="3" t="str">
        <f>"Spiders"</f>
        <v>Spiders</v>
      </c>
      <c r="F3765" s="3" t="str">
        <f>"by Seymour Simon"</f>
        <v>by Seymour Simon</v>
      </c>
      <c r="G3765" s="3" t="str">
        <f>"Harper"</f>
        <v>Harper</v>
      </c>
      <c r="H3765" s="2" t="str">
        <f>"2007"</f>
        <v>2007</v>
      </c>
      <c r="I3765" s="3" t="str">
        <f>""</f>
        <v/>
      </c>
    </row>
    <row r="3766" spans="1:9" x14ac:dyDescent="0.3">
      <c r="A3766" s="2">
        <v>3765</v>
      </c>
      <c r="B3766" s="4" t="s">
        <v>53</v>
      </c>
      <c r="C3766" s="3" t="str">
        <f>"TFC000002477"</f>
        <v>TFC000002477</v>
      </c>
      <c r="D3766" s="3" t="str">
        <f>"F600-20-2783-(AR 5.2)"</f>
        <v>F600-20-2783-(AR 5.2)</v>
      </c>
      <c r="E3766" s="3" t="str">
        <f>"Who was Seabiscuit?"</f>
        <v>Who was Seabiscuit?</v>
      </c>
      <c r="F3766" s="3" t="str">
        <f>"by James Buckley,  Jr. ; illustrated by Gregory Copeland"</f>
        <v>by James Buckley,  Jr. ; illustrated by Gregory Copeland</v>
      </c>
      <c r="G3766" s="3" t="str">
        <f>"Penguin Workshop"</f>
        <v>Penguin Workshop</v>
      </c>
      <c r="H3766" s="2" t="str">
        <f>"2015"</f>
        <v>2015</v>
      </c>
      <c r="I3766" s="3" t="str">
        <f>""</f>
        <v/>
      </c>
    </row>
    <row r="3767" spans="1:9" x14ac:dyDescent="0.3">
      <c r="A3767" s="2">
        <v>3766</v>
      </c>
      <c r="B3767" s="4" t="s">
        <v>53</v>
      </c>
      <c r="C3767" s="3" t="str">
        <f>"TFC000002478"</f>
        <v>TFC000002478</v>
      </c>
      <c r="D3767" s="3" t="str">
        <f>"F800-20-2784-(AR 5.2)"</f>
        <v>F800-20-2784-(AR 5.2)</v>
      </c>
      <c r="E3767" s="3" t="str">
        <f>"My side of the mountain"</f>
        <v>My side of the mountain</v>
      </c>
      <c r="F3767" s="3" t="str">
        <f>"written and illuatrated by Jean Craighead George"</f>
        <v>written and illuatrated by Jean Craighead George</v>
      </c>
      <c r="G3767" s="3" t="str">
        <f>"Puffin books"</f>
        <v>Puffin books</v>
      </c>
      <c r="H3767" s="2" t="str">
        <f>"2001"</f>
        <v>2001</v>
      </c>
      <c r="I3767" s="3" t="str">
        <f>""</f>
        <v/>
      </c>
    </row>
    <row r="3768" spans="1:9" x14ac:dyDescent="0.3">
      <c r="A3768" s="2">
        <v>3767</v>
      </c>
      <c r="B3768" s="4" t="s">
        <v>53</v>
      </c>
      <c r="C3768" s="3" t="str">
        <f>"TFC000002479"</f>
        <v>TFC000002479</v>
      </c>
      <c r="D3768" s="3" t="str">
        <f>"F800-20-2785-(AR 5.2)"</f>
        <v>F800-20-2785-(AR 5.2)</v>
      </c>
      <c r="E3768" s="3" t="str">
        <f>"Mrs. PiggleWiggle"</f>
        <v>Mrs. PiggleWiggle</v>
      </c>
      <c r="F3768" s="3" t="str">
        <f>"Betty MacDonald ; illustrations by Alexandra Boiger"</f>
        <v>Betty MacDonald ; illustrations by Alexandra Boiger</v>
      </c>
      <c r="G3768" s="3" t="str">
        <f>"HarperCollinsPublishers"</f>
        <v>HarperCollinsPublishers</v>
      </c>
      <c r="H3768" s="2" t="str">
        <f>"2007"</f>
        <v>2007</v>
      </c>
      <c r="I3768" s="3" t="str">
        <f>""</f>
        <v/>
      </c>
    </row>
    <row r="3769" spans="1:9" x14ac:dyDescent="0.3">
      <c r="A3769" s="2">
        <v>3768</v>
      </c>
      <c r="B3769" s="4" t="s">
        <v>53</v>
      </c>
      <c r="C3769" s="3" t="str">
        <f>"TFC000002480"</f>
        <v>TFC000002480</v>
      </c>
      <c r="D3769" s="3" t="str">
        <f>"F800-20-2786-(AR 5.2)"</f>
        <v>F800-20-2786-(AR 5.2)</v>
      </c>
      <c r="E3769" s="3" t="str">
        <f>"Pollyanna"</f>
        <v>Pollyanna</v>
      </c>
      <c r="F3769" s="3" t="str">
        <f>"Eleanor H. Porter ; illustrated by Neil Reed"</f>
        <v>Eleanor H. Porter ; illustrated by Neil Reed</v>
      </c>
      <c r="G3769" s="3" t="str">
        <f>"Puffin Books"</f>
        <v>Puffin Books</v>
      </c>
      <c r="H3769" s="2" t="str">
        <f>"1994"</f>
        <v>1994</v>
      </c>
      <c r="I3769" s="3" t="str">
        <f>""</f>
        <v/>
      </c>
    </row>
    <row r="3770" spans="1:9" x14ac:dyDescent="0.3">
      <c r="A3770" s="2">
        <v>3769</v>
      </c>
      <c r="B3770" s="4" t="s">
        <v>53</v>
      </c>
      <c r="C3770" s="3" t="str">
        <f>"TFC000002483"</f>
        <v>TFC000002483</v>
      </c>
      <c r="D3770" s="3" t="str">
        <f>"F800-20-2789-(AR 5.2)"</f>
        <v>F800-20-2789-(AR 5.2)</v>
      </c>
      <c r="E3770" s="3" t="str">
        <f>"(The)school for good and evil"</f>
        <v>(The)school for good and evil</v>
      </c>
      <c r="F3770" s="3" t="str">
        <f>"Soman Chainani ; illustrations by Iacopo Bruno"</f>
        <v>Soman Chainani ; illustrations by Iacopo Bruno</v>
      </c>
      <c r="G3770" s="3" t="str">
        <f>"Harper"</f>
        <v>Harper</v>
      </c>
      <c r="H3770" s="2" t="str">
        <f>"2014"</f>
        <v>2014</v>
      </c>
      <c r="I3770" s="3" t="str">
        <f>""</f>
        <v/>
      </c>
    </row>
    <row r="3771" spans="1:9" x14ac:dyDescent="0.3">
      <c r="A3771" s="2">
        <v>3770</v>
      </c>
      <c r="B3771" s="4" t="s">
        <v>53</v>
      </c>
      <c r="C3771" s="3" t="str">
        <f>"TFC000002484"</f>
        <v>TFC000002484</v>
      </c>
      <c r="D3771" s="3" t="str">
        <f>"F800-20-2790-(AR 5.2)"</f>
        <v>F800-20-2790-(AR 5.2)</v>
      </c>
      <c r="E3771" s="3" t="str">
        <f>"Ramona and her father"</f>
        <v>Ramona and her father</v>
      </c>
      <c r="F3771" s="3" t="str">
        <f>"Beverly Cleary ; illustrated by Jacqueline Rogers"</f>
        <v>Beverly Cleary ; illustrated by Jacqueline Rogers</v>
      </c>
      <c r="G3771" s="3" t="str">
        <f>"Harper"</f>
        <v>Harper</v>
      </c>
      <c r="H3771" s="2" t="str">
        <f>"2013"</f>
        <v>2013</v>
      </c>
      <c r="I3771" s="3" t="str">
        <f>""</f>
        <v/>
      </c>
    </row>
    <row r="3772" spans="1:9" x14ac:dyDescent="0.3">
      <c r="A3772" s="2">
        <v>3771</v>
      </c>
      <c r="B3772" s="4" t="s">
        <v>53</v>
      </c>
      <c r="C3772" s="3" t="str">
        <f>"TFC000002485"</f>
        <v>TFC000002485</v>
      </c>
      <c r="D3772" s="3" t="str">
        <f>"F800-20-2791-(AR 5.2)"</f>
        <v>F800-20-2791-(AR 5.2)</v>
      </c>
      <c r="E3772" s="3" t="str">
        <f>"Socks"</f>
        <v>Socks</v>
      </c>
      <c r="F3772" s="3" t="str">
        <f>"by Beverly Cleary ; illustrated by Tracy Dockray"</f>
        <v>by Beverly Cleary ; illustrated by Tracy Dockray</v>
      </c>
      <c r="G3772" s="3" t="str">
        <f>"Harper"</f>
        <v>Harper</v>
      </c>
      <c r="H3772" s="2" t="str">
        <f>"2015"</f>
        <v>2015</v>
      </c>
      <c r="I3772" s="3" t="str">
        <f>""</f>
        <v/>
      </c>
    </row>
    <row r="3773" spans="1:9" x14ac:dyDescent="0.3">
      <c r="A3773" s="2">
        <v>3772</v>
      </c>
      <c r="B3773" s="4" t="s">
        <v>53</v>
      </c>
      <c r="C3773" s="3" t="str">
        <f>"TFC000002486"</f>
        <v>TFC000002486</v>
      </c>
      <c r="D3773" s="3" t="str">
        <f>"F800-20-2792-(AR 5.2)"</f>
        <v>F800-20-2792-(AR 5.2)</v>
      </c>
      <c r="E3773" s="3" t="str">
        <f>"Lunch Money"</f>
        <v>Lunch Money</v>
      </c>
      <c r="F3773" s="3" t="str">
        <f>"Andrew Clements ; illustrations by Brian Selznick"</f>
        <v>Andrew Clements ; illustrations by Brian Selznick</v>
      </c>
      <c r="G3773" s="3" t="str">
        <f>"Atheneum Books for Young Readers"</f>
        <v>Atheneum Books for Young Readers</v>
      </c>
      <c r="H3773" s="2" t="str">
        <f>"2007"</f>
        <v>2007</v>
      </c>
      <c r="I3773" s="3" t="str">
        <f>""</f>
        <v/>
      </c>
    </row>
    <row r="3774" spans="1:9" x14ac:dyDescent="0.3">
      <c r="A3774" s="2">
        <v>3773</v>
      </c>
      <c r="B3774" s="4" t="s">
        <v>53</v>
      </c>
      <c r="C3774" s="3" t="str">
        <f>"TFC000002487"</f>
        <v>TFC000002487</v>
      </c>
      <c r="D3774" s="3" t="str">
        <f>"F800-20-2793-(AR 5.2)"</f>
        <v>F800-20-2793-(AR 5.2)</v>
      </c>
      <c r="E3774" s="3" t="str">
        <f>"(The)school story"</f>
        <v>(The)school story</v>
      </c>
      <c r="F3774" s="3" t="str">
        <f>"Andrew Clements ; illustrations by Brian Selznick"</f>
        <v>Andrew Clements ; illustrations by Brian Selznick</v>
      </c>
      <c r="G3774" s="3" t="str">
        <f>"Atheneum Books for Young Readers"</f>
        <v>Atheneum Books for Young Readers</v>
      </c>
      <c r="H3774" s="2" t="str">
        <f>"2002"</f>
        <v>2002</v>
      </c>
      <c r="I3774" s="3" t="str">
        <f>""</f>
        <v/>
      </c>
    </row>
    <row r="3775" spans="1:9" x14ac:dyDescent="0.3">
      <c r="A3775" s="2">
        <v>3774</v>
      </c>
      <c r="B3775" s="4" t="s">
        <v>53</v>
      </c>
      <c r="C3775" s="3" t="str">
        <f>"TFC000002488"</f>
        <v>TFC000002488</v>
      </c>
      <c r="D3775" s="3" t="str">
        <f>"F800-20-2794-(AR 5.2)"</f>
        <v>F800-20-2794-(AR 5.2)</v>
      </c>
      <c r="E3775" s="3" t="str">
        <f>"(The)wanderer"</f>
        <v>(The)wanderer</v>
      </c>
      <c r="F3775" s="3" t="str">
        <f>"by Sharon Creech ; drawings by David Diaz"</f>
        <v>by Sharon Creech ; drawings by David Diaz</v>
      </c>
      <c r="G3775" s="3" t="str">
        <f>"Joanna Cotler Books"</f>
        <v>Joanna Cotler Books</v>
      </c>
      <c r="H3775" s="2" t="str">
        <f>"2012"</f>
        <v>2012</v>
      </c>
      <c r="I3775" s="3" t="str">
        <f>""</f>
        <v/>
      </c>
    </row>
    <row r="3776" spans="1:9" x14ac:dyDescent="0.3">
      <c r="A3776" s="2">
        <v>3775</v>
      </c>
      <c r="B3776" s="4" t="s">
        <v>53</v>
      </c>
      <c r="C3776" s="3" t="str">
        <f>"TFC000002489"</f>
        <v>TFC000002489</v>
      </c>
      <c r="D3776" s="3" t="str">
        <f>"F800-20-2795-(AR 5.2)"</f>
        <v>F800-20-2795-(AR 5.2)</v>
      </c>
      <c r="E3776" s="3" t="str">
        <f>"(The)polar bear"</f>
        <v>(The)polar bear</v>
      </c>
      <c r="F3776" s="3" t="str">
        <f>"Jenni Desmon"</f>
        <v>Jenni Desmon</v>
      </c>
      <c r="G3776" s="3" t="str">
        <f>"Enchanted Lion Books"</f>
        <v>Enchanted Lion Books</v>
      </c>
      <c r="H3776" s="2" t="str">
        <f>"2016"</f>
        <v>2016</v>
      </c>
      <c r="I3776" s="3" t="str">
        <f>""</f>
        <v/>
      </c>
    </row>
    <row r="3777" spans="1:9" x14ac:dyDescent="0.3">
      <c r="A3777" s="2">
        <v>3776</v>
      </c>
      <c r="B3777" s="4" t="s">
        <v>53</v>
      </c>
      <c r="C3777" s="3" t="str">
        <f>"TFC000002491"</f>
        <v>TFC000002491</v>
      </c>
      <c r="D3777" s="3" t="str">
        <f>"F800-20-2797-(AR 5.2)"</f>
        <v>F800-20-2797-(AR 5.2)</v>
      </c>
      <c r="E3777" s="3" t="str">
        <f>"Moxy Maxwell does not love Stuart Little"</f>
        <v>Moxy Maxwell does not love Stuart Little</v>
      </c>
      <c r="F3777" s="3" t="str">
        <f>"by Peggy Gifford ; photographs by Valorie Fisher"</f>
        <v>by Peggy Gifford ; photographs by Valorie Fisher</v>
      </c>
      <c r="G3777" s="3" t="str">
        <f>"A Yearling Books"</f>
        <v>A Yearling Books</v>
      </c>
      <c r="H3777" s="2" t="str">
        <f>"2008"</f>
        <v>2008</v>
      </c>
      <c r="I3777" s="3" t="str">
        <f>""</f>
        <v/>
      </c>
    </row>
    <row r="3778" spans="1:9" x14ac:dyDescent="0.3">
      <c r="A3778" s="2">
        <v>3777</v>
      </c>
      <c r="B3778" s="4" t="s">
        <v>53</v>
      </c>
      <c r="C3778" s="3" t="str">
        <f>"TFC000002492"</f>
        <v>TFC000002492</v>
      </c>
      <c r="D3778" s="3" t="str">
        <f>"F800-20-2798-(AR 5.2)"</f>
        <v>F800-20-2798-(AR 5.2)</v>
      </c>
      <c r="E3778" s="3" t="str">
        <f>"Mr. lemoncellos library olympics"</f>
        <v>Mr. lemoncellos library olympics</v>
      </c>
      <c r="F3778" s="3" t="str">
        <f>"Chris Grabenstein"</f>
        <v>Chris Grabenstein</v>
      </c>
      <c r="G3778" s="3" t="str">
        <f>"Yearling Book"</f>
        <v>Yearling Book</v>
      </c>
      <c r="H3778" s="2" t="str">
        <f>"2017"</f>
        <v>2017</v>
      </c>
      <c r="I3778" s="3" t="str">
        <f>""</f>
        <v/>
      </c>
    </row>
    <row r="3779" spans="1:9" x14ac:dyDescent="0.3">
      <c r="A3779" s="2">
        <v>3778</v>
      </c>
      <c r="B3779" s="4" t="s">
        <v>53</v>
      </c>
      <c r="C3779" s="3" t="str">
        <f>"TFC000002494"</f>
        <v>TFC000002494</v>
      </c>
      <c r="D3779" s="3" t="str">
        <f>"F800-20-2800-(AR 5.2)"</f>
        <v>F800-20-2800-(AR 5.2)</v>
      </c>
      <c r="E3779" s="3" t="str">
        <f>"Captain underpants and the big, bad battle of the bionic booger boy. Part 1, the night of the nastry nostril nuggets"</f>
        <v>Captain underpants and the big, bad battle of the bionic booger boy. Part 1, the night of the nastry nostril nuggets</v>
      </c>
      <c r="F3779" s="3" t="str">
        <f>"by Dav Pilkey"</f>
        <v>by Dav Pilkey</v>
      </c>
      <c r="G3779" s="3" t="str">
        <f>"Scholastic"</f>
        <v>Scholastic</v>
      </c>
      <c r="H3779" s="2" t="str">
        <f>"2003"</f>
        <v>2003</v>
      </c>
      <c r="I3779" s="3" t="str">
        <f>""</f>
        <v/>
      </c>
    </row>
    <row r="3780" spans="1:9" x14ac:dyDescent="0.3">
      <c r="A3780" s="2">
        <v>3779</v>
      </c>
      <c r="B3780" s="4" t="s">
        <v>53</v>
      </c>
      <c r="C3780" s="3" t="str">
        <f>"TFC000002495"</f>
        <v>TFC000002495</v>
      </c>
      <c r="D3780" s="3" t="str">
        <f>"F800-20-2801-(AR 5.2)"</f>
        <v>F800-20-2801-(AR 5.2)</v>
      </c>
      <c r="E3780" s="3" t="str">
        <f>"Shadow of a bull"</f>
        <v>Shadow of a bull</v>
      </c>
      <c r="F3780" s="3" t="str">
        <f>"Maia Wojciechowska"</f>
        <v>Maia Wojciechowska</v>
      </c>
      <c r="G3780" s="3" t="str">
        <f>"Aladdin Paperbacks"</f>
        <v>Aladdin Paperbacks</v>
      </c>
      <c r="H3780" s="2" t="str">
        <f>"2007"</f>
        <v>2007</v>
      </c>
      <c r="I3780" s="3" t="str">
        <f>""</f>
        <v/>
      </c>
    </row>
    <row r="3781" spans="1:9" x14ac:dyDescent="0.3">
      <c r="A3781" s="2">
        <v>3780</v>
      </c>
      <c r="B3781" s="4" t="s">
        <v>53</v>
      </c>
      <c r="C3781" s="3" t="str">
        <f>"TFC000002497"</f>
        <v>TFC000002497</v>
      </c>
      <c r="D3781" s="3" t="str">
        <f>"F800-20-2803-(AR 5.2)"</f>
        <v>F800-20-2803-(AR 5.2)</v>
      </c>
      <c r="E3781" s="3" t="str">
        <f>"Pippi longstocking"</f>
        <v>Pippi longstocking</v>
      </c>
      <c r="F3781" s="3" t="str">
        <f>"by Astrid Lindgren ; translated by Florence Lamborn ; illustrated by Louis S. Glanzman"</f>
        <v>by Astrid Lindgren ; translated by Florence Lamborn ; illustrated by Louis S. Glanzman</v>
      </c>
      <c r="G3781" s="3" t="str">
        <f>"Puffin Books"</f>
        <v>Puffin Books</v>
      </c>
      <c r="H3781" s="2" t="str">
        <f>"1997"</f>
        <v>1997</v>
      </c>
      <c r="I3781" s="3" t="str">
        <f>""</f>
        <v/>
      </c>
    </row>
    <row r="3782" spans="1:9" x14ac:dyDescent="0.3">
      <c r="A3782" s="2">
        <v>3781</v>
      </c>
      <c r="B3782" s="4" t="s">
        <v>53</v>
      </c>
      <c r="C3782" s="3" t="str">
        <f>"TFC000002498"</f>
        <v>TFC000002498</v>
      </c>
      <c r="D3782" s="3" t="str">
        <f>"F900-20-2809-(AR 5.2)"</f>
        <v>F900-20-2809-(AR 5.2)</v>
      </c>
      <c r="E3782" s="3" t="str">
        <f>"Ancient Rome and Pompeii : vacation under the volcano"</f>
        <v>Ancient Rome and Pompeii : vacation under the volcano</v>
      </c>
      <c r="F3782" s="3" t="str">
        <f>"by Mary Pope Osborne, Natalie Pope Boyce ; illustrated by Sal Murdocca"</f>
        <v>by Mary Pope Osborne, Natalie Pope Boyce ; illustrated by Sal Murdocca</v>
      </c>
      <c r="G3782" s="3" t="str">
        <f>"Random House"</f>
        <v>Random House</v>
      </c>
      <c r="H3782" s="2" t="str">
        <f>"2011"</f>
        <v>2011</v>
      </c>
      <c r="I3782" s="3" t="str">
        <f>""</f>
        <v/>
      </c>
    </row>
    <row r="3783" spans="1:9" x14ac:dyDescent="0.3">
      <c r="A3783" s="2">
        <v>3782</v>
      </c>
      <c r="B3783" s="4" t="s">
        <v>53</v>
      </c>
      <c r="C3783" s="3" t="str">
        <f>"TFC000002499"</f>
        <v>TFC000002499</v>
      </c>
      <c r="D3783" s="3" t="str">
        <f>"F900-20-2810-(AR 5.2)"</f>
        <v>F900-20-2810-(AR 5.2)</v>
      </c>
      <c r="E3783" s="3" t="str">
        <f>"(The)wall : growing up behind the Iron curtain"</f>
        <v>(The)wall : growing up behind the Iron curtain</v>
      </c>
      <c r="F3783" s="3" t="str">
        <f>"Peter Sis"</f>
        <v>Peter Sis</v>
      </c>
      <c r="G3783" s="3" t="str">
        <f>"Farrar, Straus and Giroux"</f>
        <v>Farrar, Straus and Giroux</v>
      </c>
      <c r="H3783" s="2" t="str">
        <f>"2007"</f>
        <v>2007</v>
      </c>
      <c r="I3783" s="3" t="str">
        <f>""</f>
        <v/>
      </c>
    </row>
    <row r="3784" spans="1:9" x14ac:dyDescent="0.3">
      <c r="A3784" s="2">
        <v>3783</v>
      </c>
      <c r="B3784" s="4" t="s">
        <v>53</v>
      </c>
      <c r="C3784" s="3" t="str">
        <f>"TFC000002500"</f>
        <v>TFC000002500</v>
      </c>
      <c r="D3784" s="3" t="str">
        <f>"F900-20-2811-(AR 5.2)"</f>
        <v>F900-20-2811-(AR 5.2)</v>
      </c>
      <c r="E3784" s="3" t="str">
        <f>"Who was Ernest Shackleton?"</f>
        <v>Who was Ernest Shackleton?</v>
      </c>
      <c r="F3784" s="3" t="str">
        <f>"James Buckley Jr. ; illustrated by Max Hergenrother"</f>
        <v>James Buckley Jr. ; illustrated by Max Hergenrother</v>
      </c>
      <c r="G3784" s="3" t="str">
        <f>"Penguin Workshop"</f>
        <v>Penguin Workshop</v>
      </c>
      <c r="H3784" s="2" t="str">
        <f>"2015"</f>
        <v>2015</v>
      </c>
      <c r="I3784" s="3" t="str">
        <f>""</f>
        <v/>
      </c>
    </row>
    <row r="3785" spans="1:9" x14ac:dyDescent="0.3">
      <c r="A3785" s="2">
        <v>3784</v>
      </c>
      <c r="B3785" s="4" t="s">
        <v>53</v>
      </c>
      <c r="C3785" s="3" t="str">
        <f>"TFC000002501"</f>
        <v>TFC000002501</v>
      </c>
      <c r="D3785" s="3" t="str">
        <f>"F900-20-2812-(AR 5.2)"</f>
        <v>F900-20-2812-(AR 5.2)</v>
      </c>
      <c r="E3785" s="3" t="str">
        <f>"Who was Martin Luther King, Jr.?"</f>
        <v>Who was Martin Luther King, Jr.?</v>
      </c>
      <c r="F3785" s="3" t="str">
        <f>"by Bonnie Bader ; illustrated by Elizabeth Wolf"</f>
        <v>by Bonnie Bader ; illustrated by Elizabeth Wolf</v>
      </c>
      <c r="G3785" s="3" t="str">
        <f>"Grosset &amp; Dunlap"</f>
        <v>Grosset &amp; Dunlap</v>
      </c>
      <c r="H3785" s="2" t="str">
        <f>"2008"</f>
        <v>2008</v>
      </c>
      <c r="I3785" s="3" t="str">
        <f>""</f>
        <v/>
      </c>
    </row>
    <row r="3786" spans="1:9" x14ac:dyDescent="0.3">
      <c r="A3786" s="2">
        <v>3785</v>
      </c>
      <c r="B3786" s="4" t="s">
        <v>53</v>
      </c>
      <c r="C3786" s="3" t="str">
        <f>"TFC000002502"</f>
        <v>TFC000002502</v>
      </c>
      <c r="D3786" s="3" t="str">
        <f>"F900-20-2813-(AR 5.2)"</f>
        <v>F900-20-2813-(AR 5.2)</v>
      </c>
      <c r="E3786" s="3" t="str">
        <f>"Who was Milton Hershey?"</f>
        <v>Who was Milton Hershey?</v>
      </c>
      <c r="F3786" s="3" t="str">
        <f>"by James Buckley Jr. ; illustrated by Ted Hammond"</f>
        <v>by James Buckley Jr. ; illustrated by Ted Hammond</v>
      </c>
      <c r="G3786" s="3" t="str">
        <f>"Penguin Workshop"</f>
        <v>Penguin Workshop</v>
      </c>
      <c r="H3786" s="2" t="str">
        <f>"2015"</f>
        <v>2015</v>
      </c>
      <c r="I3786" s="3" t="str">
        <f>""</f>
        <v/>
      </c>
    </row>
    <row r="3787" spans="1:9" x14ac:dyDescent="0.3">
      <c r="A3787" s="2">
        <v>3786</v>
      </c>
      <c r="B3787" s="4" t="s">
        <v>53</v>
      </c>
      <c r="C3787" s="3" t="str">
        <f>"TFC000002503"</f>
        <v>TFC000002503</v>
      </c>
      <c r="D3787" s="3" t="str">
        <f>"F900-20-2814-(AR 5.2)"</f>
        <v>F900-20-2814-(AR 5.2)</v>
      </c>
      <c r="E3787" s="3" t="str">
        <f>"Who is Bill Gates?"</f>
        <v>Who is Bill Gates?</v>
      </c>
      <c r="F3787" s="3" t="str">
        <f>"by Patricia Brennan Demuth ; illustrated by Ted Hammond"</f>
        <v>by Patricia Brennan Demuth ; illustrated by Ted Hammond</v>
      </c>
      <c r="G3787" s="3" t="str">
        <f>"Grosset &amp; Dunlap"</f>
        <v>Grosset &amp; Dunlap</v>
      </c>
      <c r="H3787" s="2" t="str">
        <f>"2013"</f>
        <v>2013</v>
      </c>
      <c r="I3787" s="3" t="str">
        <f>""</f>
        <v/>
      </c>
    </row>
    <row r="3788" spans="1:9" x14ac:dyDescent="0.3">
      <c r="A3788" s="2">
        <v>3787</v>
      </c>
      <c r="B3788" s="4" t="s">
        <v>53</v>
      </c>
      <c r="C3788" s="3" t="str">
        <f>"TFC000002506"</f>
        <v>TFC000002506</v>
      </c>
      <c r="D3788" s="3" t="str">
        <f>"F900-20-2817-(AR 5.2)"</f>
        <v>F900-20-2817-(AR 5.2)</v>
      </c>
      <c r="E3788" s="3" t="str">
        <f>"When Marian sang : the true recital of Marian Anderson"</f>
        <v>When Marian sang : the true recital of Marian Anderson</v>
      </c>
      <c r="F3788" s="3" t="str">
        <f>"by Pam Munoz Ryan ; illustrated by Brian Selznick"</f>
        <v>by Pam Munoz Ryan ; illustrated by Brian Selznick</v>
      </c>
      <c r="G3788" s="3" t="str">
        <f>"Scholastic"</f>
        <v>Scholastic</v>
      </c>
      <c r="H3788" s="2" t="str">
        <f>"2001"</f>
        <v>2001</v>
      </c>
      <c r="I3788" s="3" t="str">
        <f>""</f>
        <v/>
      </c>
    </row>
    <row r="3789" spans="1:9" x14ac:dyDescent="0.3">
      <c r="A3789" s="2">
        <v>3788</v>
      </c>
      <c r="B3789" s="4" t="s">
        <v>53</v>
      </c>
      <c r="C3789" s="3" t="str">
        <f>"TFC000002507"</f>
        <v>TFC000002507</v>
      </c>
      <c r="D3789" s="3" t="str">
        <f>"F900-20-2818-(AR 5.2)"</f>
        <v>F900-20-2818-(AR 5.2)</v>
      </c>
      <c r="E3789" s="3" t="str">
        <f>"Who was Marco Polo?"</f>
        <v>Who was Marco Polo?</v>
      </c>
      <c r="F3789" s="3" t="str">
        <f>"by Joan Holub ; illustrated by John O'Brein"</f>
        <v>by Joan Holub ; illustrated by John O'Brein</v>
      </c>
      <c r="G3789" s="3" t="str">
        <f>"Grosset &amp; Dunlap"</f>
        <v>Grosset &amp; Dunlap</v>
      </c>
      <c r="H3789" s="2" t="str">
        <f>"2007"</f>
        <v>2007</v>
      </c>
      <c r="I3789" s="3" t="str">
        <f>""</f>
        <v/>
      </c>
    </row>
    <row r="3790" spans="1:9" x14ac:dyDescent="0.3">
      <c r="A3790" s="2">
        <v>3789</v>
      </c>
      <c r="B3790" s="4" t="s">
        <v>53</v>
      </c>
      <c r="C3790" s="3" t="str">
        <f>"TFC000003037"</f>
        <v>TFC000003037</v>
      </c>
      <c r="D3790" s="3" t="str">
        <f>"F800-20-2805-(AR 5.2)"</f>
        <v>F800-20-2805-(AR 5.2)</v>
      </c>
      <c r="E3790" s="3" t="str">
        <f>"Pippi Longstocking"</f>
        <v>Pippi Longstocking</v>
      </c>
      <c r="F3790" s="3" t="str">
        <f>"Astrid Lindgren ; illustrated by Louis S. Glanzman"</f>
        <v>Astrid Lindgren ; illustrated by Louis S. Glanzman</v>
      </c>
      <c r="G3790" s="3" t="str">
        <f>"Puffin Books"</f>
        <v>Puffin Books</v>
      </c>
      <c r="H3790" s="2" t="str">
        <f>"2013"</f>
        <v>2013</v>
      </c>
      <c r="I3790" s="3" t="str">
        <f>""</f>
        <v/>
      </c>
    </row>
    <row r="3791" spans="1:9" x14ac:dyDescent="0.3">
      <c r="A3791" s="2">
        <v>3790</v>
      </c>
      <c r="B3791" s="4" t="s">
        <v>53</v>
      </c>
      <c r="C3791" s="3" t="str">
        <f>"TFC000003042"</f>
        <v>TFC000003042</v>
      </c>
      <c r="D3791" s="3" t="str">
        <f>"F800-20-2806-(AR 5.2)"</f>
        <v>F800-20-2806-(AR 5.2)</v>
      </c>
      <c r="E3791" s="3" t="str">
        <f>"(The)candymakers and the great chocolate chase"</f>
        <v>(The)candymakers and the great chocolate chase</v>
      </c>
      <c r="F3791" s="3" t="str">
        <f>"Wendy Mass"</f>
        <v>Wendy Mass</v>
      </c>
      <c r="G3791" s="3" t="str">
        <f>"Little, Brown and Company"</f>
        <v>Little, Brown and Company</v>
      </c>
      <c r="H3791" s="2" t="str">
        <f>"2017"</f>
        <v>2017</v>
      </c>
      <c r="I3791" s="3" t="str">
        <f>""</f>
        <v/>
      </c>
    </row>
    <row r="3792" spans="1:9" x14ac:dyDescent="0.3">
      <c r="A3792" s="2">
        <v>3791</v>
      </c>
      <c r="B3792" s="4" t="s">
        <v>53</v>
      </c>
      <c r="C3792" s="3" t="str">
        <f>"TFC000003079"</f>
        <v>TFC000003079</v>
      </c>
      <c r="D3792" s="3" t="str">
        <f>"F800-20-2807-(AR 5.2)"</f>
        <v>F800-20-2807-(AR 5.2)</v>
      </c>
      <c r="E3792" s="3" t="str">
        <f>"(The)last last-day-of-summer"</f>
        <v>(The)last last-day-of-summer</v>
      </c>
      <c r="F3792" s="3" t="str">
        <f>"by Lamar Giles ; illustrations by Dapo Adeola"</f>
        <v>by Lamar Giles ; illustrations by Dapo Adeola</v>
      </c>
      <c r="G3792" s="3" t="str">
        <f>"Houghton Mifflin Harcourt"</f>
        <v>Houghton Mifflin Harcourt</v>
      </c>
      <c r="H3792" s="2" t="str">
        <f>"2019"</f>
        <v>2019</v>
      </c>
      <c r="I3792" s="3" t="str">
        <f>""</f>
        <v/>
      </c>
    </row>
    <row r="3793" spans="1:9" x14ac:dyDescent="0.3">
      <c r="A3793" s="2">
        <v>3792</v>
      </c>
      <c r="B3793" s="4" t="s">
        <v>53</v>
      </c>
      <c r="C3793" s="3" t="str">
        <f>"TFC000003415"</f>
        <v>TFC000003415</v>
      </c>
      <c r="D3793" s="3" t="str">
        <f>"F800-21-0864-(AR 5.2)"</f>
        <v>F800-21-0864-(AR 5.2)</v>
      </c>
      <c r="E3793" s="3" t="str">
        <f>"Hoot"</f>
        <v>Hoot</v>
      </c>
      <c r="F3793" s="3" t="str">
        <f>"by Carl Hiaasen"</f>
        <v>by Carl Hiaasen</v>
      </c>
      <c r="G3793" s="3" t="str">
        <f>"Yearling book"</f>
        <v>Yearling book</v>
      </c>
      <c r="H3793" s="2" t="str">
        <f>"2020"</f>
        <v>2020</v>
      </c>
      <c r="I3793" s="3" t="str">
        <f>""</f>
        <v/>
      </c>
    </row>
    <row r="3794" spans="1:9" x14ac:dyDescent="0.3">
      <c r="A3794" s="2">
        <v>3793</v>
      </c>
      <c r="B3794" s="4" t="s">
        <v>53</v>
      </c>
      <c r="C3794" s="3" t="str">
        <f>"TFC000003639"</f>
        <v>TFC000003639</v>
      </c>
      <c r="D3794" s="3" t="str">
        <f>"F800-21-0865-(AR 5.2)"</f>
        <v>F800-21-0865-(AR 5.2)</v>
      </c>
      <c r="E3794" s="3" t="str">
        <f>"Mattimeo"</f>
        <v>Mattimeo</v>
      </c>
      <c r="F3794" s="3" t="str">
        <f>"by Brian Jacques ; illustrated by Gary Chalk"</f>
        <v>by Brian Jacques ; illustrated by Gary Chalk</v>
      </c>
      <c r="G3794" s="3" t="str">
        <f>"Firebird"</f>
        <v>Firebird</v>
      </c>
      <c r="H3794" s="2" t="str">
        <f>"2003"</f>
        <v>2003</v>
      </c>
      <c r="I3794" s="3" t="str">
        <f>""</f>
        <v/>
      </c>
    </row>
    <row r="3795" spans="1:9" x14ac:dyDescent="0.3">
      <c r="A3795" s="2">
        <v>3794</v>
      </c>
      <c r="B3795" s="4" t="s">
        <v>53</v>
      </c>
      <c r="C3795" s="3" t="str">
        <f>"TFC000003671"</f>
        <v>TFC000003671</v>
      </c>
      <c r="D3795" s="3" t="str">
        <f>"F800-21-0866-(AR 5.2)"</f>
        <v>F800-21-0866-(AR 5.2)</v>
      </c>
      <c r="E3795" s="3" t="str">
        <f>"Talons of power. 9"</f>
        <v>Talons of power. 9</v>
      </c>
      <c r="F3795" s="3" t="str">
        <f>"by Tui T. Sutherland"</f>
        <v>by Tui T. Sutherland</v>
      </c>
      <c r="G3795" s="3" t="str">
        <f>"Scholastic"</f>
        <v>Scholastic</v>
      </c>
      <c r="H3795" s="2" t="str">
        <f>"2018"</f>
        <v>2018</v>
      </c>
      <c r="I3795" s="3" t="str">
        <f>""</f>
        <v/>
      </c>
    </row>
    <row r="3796" spans="1:9" x14ac:dyDescent="0.3">
      <c r="A3796" s="2">
        <v>3795</v>
      </c>
      <c r="B3796" s="4" t="s">
        <v>53</v>
      </c>
      <c r="C3796" s="3" t="str">
        <f>"TFC000003711"</f>
        <v>TFC000003711</v>
      </c>
      <c r="D3796" s="3" t="str">
        <f>"F800-21-0867-(AR 5.2)"</f>
        <v>F800-21-0867-(AR 5.2)</v>
      </c>
      <c r="E3796" s="3" t="str">
        <f>"Ruin and rising"</f>
        <v>Ruin and rising</v>
      </c>
      <c r="F3796" s="3" t="str">
        <f>"by Leigh Bardugo"</f>
        <v>by Leigh Bardugo</v>
      </c>
      <c r="G3796" s="3" t="str">
        <f>"Orion"</f>
        <v>Orion</v>
      </c>
      <c r="H3796" s="2" t="str">
        <f>"2018"</f>
        <v>2018</v>
      </c>
      <c r="I3796" s="3" t="str">
        <f>""</f>
        <v/>
      </c>
    </row>
    <row r="3797" spans="1:9" x14ac:dyDescent="0.3">
      <c r="A3797" s="2">
        <v>3796</v>
      </c>
      <c r="B3797" s="4" t="s">
        <v>53</v>
      </c>
      <c r="C3797" s="3" t="str">
        <f>"TFC000003829"</f>
        <v>TFC000003829</v>
      </c>
      <c r="D3797" s="3" t="str">
        <f>"F800-21-0868-(AR 5.2)"</f>
        <v>F800-21-0868-(AR 5.2)</v>
      </c>
      <c r="E3797" s="3" t="str">
        <f>"I Was a Rat!"</f>
        <v>I Was a Rat!</v>
      </c>
      <c r="F3797" s="3" t="str">
        <f>"by Philip Pullman, illustrated by Kevin Hawkes"</f>
        <v>by Philip Pullman, illustrated by Kevin Hawkes</v>
      </c>
      <c r="G3797" s="3" t="str">
        <f>"A Yearling Book"</f>
        <v>A Yearling Book</v>
      </c>
      <c r="H3797" s="2" t="str">
        <f>"2002"</f>
        <v>2002</v>
      </c>
      <c r="I3797" s="3" t="str">
        <f>""</f>
        <v/>
      </c>
    </row>
    <row r="3798" spans="1:9" x14ac:dyDescent="0.3">
      <c r="A3798" s="2">
        <v>3797</v>
      </c>
      <c r="B3798" s="4" t="s">
        <v>53</v>
      </c>
      <c r="C3798" s="3" t="str">
        <f>"TFC000004095"</f>
        <v>TFC000004095</v>
      </c>
      <c r="D3798" s="3" t="str">
        <f>"F800-21-0869-(AR 5.2)"</f>
        <v>F800-21-0869-(AR 5.2)</v>
      </c>
      <c r="E3798" s="3" t="str">
        <f>"Susie B. Won't Back Down"</f>
        <v>Susie B. Won't Back Down</v>
      </c>
      <c r="F3798" s="3" t="str">
        <f>"Margaret Finnegan"</f>
        <v>Margaret Finnegan</v>
      </c>
      <c r="G3798" s="3" t="str">
        <f>"Atheneum Books for Young Readers"</f>
        <v>Atheneum Books for Young Readers</v>
      </c>
      <c r="H3798" s="2" t="str">
        <f>"2021"</f>
        <v>2021</v>
      </c>
      <c r="I3798" s="3" t="str">
        <f>""</f>
        <v/>
      </c>
    </row>
    <row r="3799" spans="1:9" x14ac:dyDescent="0.3">
      <c r="A3799" s="2">
        <v>3798</v>
      </c>
      <c r="B3799" s="4" t="s">
        <v>53</v>
      </c>
      <c r="C3799" s="3" t="str">
        <f>"TFC000004096"</f>
        <v>TFC000004096</v>
      </c>
      <c r="D3799" s="3" t="str">
        <f>"F800-21-0870-(AR 5.2)"</f>
        <v>F800-21-0870-(AR 5.2)</v>
      </c>
      <c r="E3799" s="3" t="str">
        <f>"Set Me Free"</f>
        <v>Set Me Free</v>
      </c>
      <c r="F3799" s="3" t="str">
        <f>"by Ann Clare Lezotte"</f>
        <v>by Ann Clare Lezotte</v>
      </c>
      <c r="G3799" s="3" t="str">
        <f>"Scholastic Press"</f>
        <v>Scholastic Press</v>
      </c>
      <c r="H3799" s="2" t="str">
        <f>"2021"</f>
        <v>2021</v>
      </c>
      <c r="I3799" s="3" t="str">
        <f>""</f>
        <v/>
      </c>
    </row>
    <row r="3800" spans="1:9" x14ac:dyDescent="0.3">
      <c r="A3800" s="2">
        <v>3799</v>
      </c>
      <c r="B3800" s="4" t="s">
        <v>53</v>
      </c>
      <c r="C3800" s="3" t="str">
        <f>"TFC000004097"</f>
        <v>TFC000004097</v>
      </c>
      <c r="D3800" s="3" t="str">
        <f>"F800-21-0871-(AR 5.2)"</f>
        <v>F800-21-0871-(AR 5.2)</v>
      </c>
      <c r="E3800" s="3" t="str">
        <f>"Pax"</f>
        <v>Pax</v>
      </c>
      <c r="F3800" s="3" t="str">
        <f>"by Sara Pennypacker, illustrated by Jon Klassen"</f>
        <v>by Sara Pennypacker, illustrated by Jon Klassen</v>
      </c>
      <c r="G3800" s="3" t="str">
        <f>"Balzer + Bray"</f>
        <v>Balzer + Bray</v>
      </c>
      <c r="H3800" s="2" t="str">
        <f>"2016"</f>
        <v>2016</v>
      </c>
      <c r="I3800" s="3" t="str">
        <f>""</f>
        <v/>
      </c>
    </row>
    <row r="3801" spans="1:9" x14ac:dyDescent="0.3">
      <c r="A3801" s="2">
        <v>3800</v>
      </c>
      <c r="B3801" s="4" t="s">
        <v>53</v>
      </c>
      <c r="C3801" s="3" t="str">
        <f>"TFC000004098"</f>
        <v>TFC000004098</v>
      </c>
      <c r="D3801" s="3" t="str">
        <f>"F800-21-0872-(AR 5.2)"</f>
        <v>F800-21-0872-(AR 5.2)</v>
      </c>
      <c r="E3801" s="3" t="str">
        <f>"Partly Cloudy"</f>
        <v>Partly Cloudy</v>
      </c>
      <c r="F3801" s="3" t="str">
        <f>"by Tanita S. Davis"</f>
        <v>by Tanita S. Davis</v>
      </c>
      <c r="G3801" s="3" t="str">
        <f>"Katherine Tegen Books"</f>
        <v>Katherine Tegen Books</v>
      </c>
      <c r="H3801" s="2" t="str">
        <f>"2021"</f>
        <v>2021</v>
      </c>
      <c r="I3801" s="3" t="str">
        <f>""</f>
        <v/>
      </c>
    </row>
    <row r="3802" spans="1:9" x14ac:dyDescent="0.3">
      <c r="A3802" s="2">
        <v>3801</v>
      </c>
      <c r="B3802" s="4" t="s">
        <v>53</v>
      </c>
      <c r="C3802" s="3" t="str">
        <f>"TFC000004099"</f>
        <v>TFC000004099</v>
      </c>
      <c r="D3802" s="3" t="str">
        <f>"F900-21-0876-(AR 5.2)"</f>
        <v>F900-21-0876-(AR 5.2)</v>
      </c>
      <c r="E3802" s="3" t="str">
        <f>"Nina : a story of Nina Simone"</f>
        <v>Nina : a story of Nina Simone</v>
      </c>
      <c r="F3802" s="3" t="str">
        <f>"by Traci N. Todd, pictures by Christian Robinson"</f>
        <v>by Traci N. Todd, pictures by Christian Robinson</v>
      </c>
      <c r="G3802" s="3" t="str">
        <f>"G.P. Putnam's Sons"</f>
        <v>G.P. Putnam's Sons</v>
      </c>
      <c r="H3802" s="2" t="str">
        <f>"2021"</f>
        <v>2021</v>
      </c>
      <c r="I3802" s="3" t="str">
        <f>""</f>
        <v/>
      </c>
    </row>
    <row r="3803" spans="1:9" x14ac:dyDescent="0.3">
      <c r="A3803" s="2">
        <v>3802</v>
      </c>
      <c r="B3803" s="4" t="s">
        <v>53</v>
      </c>
      <c r="C3803" s="3" t="str">
        <f>"TFC000004109"</f>
        <v>TFC000004109</v>
      </c>
      <c r="D3803" s="3" t="str">
        <f>"F800-21-0874-(AR 5.2)"</f>
        <v>F800-21-0874-(AR 5.2)</v>
      </c>
      <c r="E3803" s="3" t="str">
        <f>"(The)ship we built"</f>
        <v>(The)ship we built</v>
      </c>
      <c r="F3803" s="3" t="str">
        <f>"by Lexie Bean, illustrated by Noah Grigni"</f>
        <v>by Lexie Bean, illustrated by Noah Grigni</v>
      </c>
      <c r="G3803" s="3" t="str">
        <f>"Dial Books"</f>
        <v>Dial Books</v>
      </c>
      <c r="H3803" s="2" t="str">
        <f>"2020"</f>
        <v>2020</v>
      </c>
      <c r="I3803" s="3" t="str">
        <f>""</f>
        <v/>
      </c>
    </row>
    <row r="3804" spans="1:9" x14ac:dyDescent="0.3">
      <c r="A3804" s="2">
        <v>3803</v>
      </c>
      <c r="B3804" s="4" t="s">
        <v>53</v>
      </c>
      <c r="C3804" s="3" t="str">
        <f>"TFC000004125"</f>
        <v>TFC000004125</v>
      </c>
      <c r="D3804" s="3" t="str">
        <f>"F800-21-0875-(AR 5.2)"</f>
        <v>F800-21-0875-(AR 5.2)</v>
      </c>
      <c r="E3804" s="3" t="str">
        <f>"(A)Wish in the dark"</f>
        <v>(A)Wish in the dark</v>
      </c>
      <c r="F3804" s="3" t="str">
        <f>"by Christina Soontornvat"</f>
        <v>by Christina Soontornvat</v>
      </c>
      <c r="G3804" s="3" t="str">
        <f>"Candlewick Press"</f>
        <v>Candlewick Press</v>
      </c>
      <c r="H3804" s="2" t="str">
        <f>"2021"</f>
        <v>2021</v>
      </c>
      <c r="I3804" s="3" t="str">
        <f>""</f>
        <v/>
      </c>
    </row>
    <row r="3805" spans="1:9" x14ac:dyDescent="0.3">
      <c r="A3805" s="2">
        <v>3804</v>
      </c>
      <c r="B3805" s="4" t="s">
        <v>53</v>
      </c>
      <c r="C3805" s="3" t="str">
        <f>"TFC000004198"</f>
        <v>TFC000004198</v>
      </c>
      <c r="D3805" s="3" t="str">
        <f>"F400-22-0072-(AR 5.2)"</f>
        <v>F400-22-0072-(AR 5.2)</v>
      </c>
      <c r="E3805" s="3" t="str">
        <f>"What if you could sniff like a shark? : explore the superpowers of ocean animals"</f>
        <v>What if you could sniff like a shark? : explore the superpowers of ocean animals</v>
      </c>
      <c r="F3805" s="3" t="str">
        <f>"by Sandra Markle ; illustrated by Howard McWilliam"</f>
        <v>by Sandra Markle ; illustrated by Howard McWilliam</v>
      </c>
      <c r="G3805" s="3" t="str">
        <f>"Scholastic"</f>
        <v>Scholastic</v>
      </c>
      <c r="H3805" s="2" t="str">
        <f>"2020"</f>
        <v>2020</v>
      </c>
      <c r="I3805" s="3" t="str">
        <f>""</f>
        <v/>
      </c>
    </row>
    <row r="3806" spans="1:9" x14ac:dyDescent="0.3">
      <c r="A3806" s="2">
        <v>3805</v>
      </c>
      <c r="B3806" s="4" t="s">
        <v>53</v>
      </c>
      <c r="C3806" s="3" t="str">
        <f>"TFC000004206"</f>
        <v>TFC000004206</v>
      </c>
      <c r="D3806" s="3" t="str">
        <f>"F800-22-0096-(AR 5.2)"</f>
        <v>F800-22-0096-(AR 5.2)</v>
      </c>
      <c r="E3806" s="3" t="str">
        <f>"Daughter of the deep"</f>
        <v>Daughter of the deep</v>
      </c>
      <c r="F3806" s="3" t="str">
        <f>"by Rick Riordan, [illustrations by Lavanya Naidu]"</f>
        <v>by Rick Riordan, [illustrations by Lavanya Naidu]</v>
      </c>
      <c r="G3806" s="3" t="str">
        <f>"Disney Books"</f>
        <v>Disney Books</v>
      </c>
      <c r="H3806" s="2" t="str">
        <f>"2021"</f>
        <v>2021</v>
      </c>
      <c r="I3806" s="3" t="str">
        <f>""</f>
        <v/>
      </c>
    </row>
    <row r="3807" spans="1:9" x14ac:dyDescent="0.3">
      <c r="A3807" s="2">
        <v>3806</v>
      </c>
      <c r="B3807" s="4" t="s">
        <v>53</v>
      </c>
      <c r="C3807" s="3" t="str">
        <f>"TFC000004605"</f>
        <v>TFC000004605</v>
      </c>
      <c r="D3807" s="3" t="str">
        <f>"F800-22-0414-(AR5.2)"</f>
        <v>F800-22-0414-(AR5.2)</v>
      </c>
      <c r="E3807" s="3" t="str">
        <f>"Hello, Cruel Heart"</f>
        <v>Hello, Cruel Heart</v>
      </c>
      <c r="F3807" s="3" t="str">
        <f>"by Maureen Johnson"</f>
        <v>by Maureen Johnson</v>
      </c>
      <c r="G3807" s="3" t="str">
        <f>"Disney Press"</f>
        <v>Disney Press</v>
      </c>
      <c r="H3807" s="2" t="str">
        <f>"2021"</f>
        <v>2021</v>
      </c>
      <c r="I3807" s="3" t="str">
        <f>""</f>
        <v/>
      </c>
    </row>
    <row r="3808" spans="1:9" x14ac:dyDescent="0.3">
      <c r="A3808" s="2">
        <v>3807</v>
      </c>
      <c r="B3808" s="4" t="s">
        <v>53</v>
      </c>
      <c r="C3808" s="3" t="str">
        <f>"TFC000004623"</f>
        <v>TFC000004623</v>
      </c>
      <c r="D3808" s="3" t="str">
        <f>"F800-22-0432-(AR5.2)"</f>
        <v>F800-22-0432-(AR5.2)</v>
      </c>
      <c r="E3808" s="3" t="str">
        <f>"City of the Dead"</f>
        <v>City of the Dead</v>
      </c>
      <c r="F3808" s="3" t="str">
        <f>"by James Patterson"</f>
        <v>by James Patterson</v>
      </c>
      <c r="G3808" s="3" t="str">
        <f>"Jimmy Patterson"</f>
        <v>Jimmy Patterson</v>
      </c>
      <c r="H3808" s="2" t="str">
        <f>"2021"</f>
        <v>2021</v>
      </c>
      <c r="I3808" s="3" t="str">
        <f>""</f>
        <v/>
      </c>
    </row>
    <row r="3809" spans="1:9" x14ac:dyDescent="0.3">
      <c r="A3809" s="2">
        <v>3808</v>
      </c>
      <c r="B3809" s="4" t="s">
        <v>53</v>
      </c>
      <c r="C3809" s="3" t="str">
        <f>"TFC000004573"</f>
        <v>TFC000004573</v>
      </c>
      <c r="D3809" s="3" t="str">
        <f>"F800-22-0382-(AR5.2)"</f>
        <v>F800-22-0382-(AR5.2)</v>
      </c>
      <c r="E3809" s="3" t="str">
        <f>"Asha and the Spirit Bird"</f>
        <v>Asha and the Spirit Bird</v>
      </c>
      <c r="F3809" s="3" t="str">
        <f>"by Jasbinder Bilan"</f>
        <v>by Jasbinder Bilan</v>
      </c>
      <c r="G3809" s="3" t="str">
        <f>"Chicken House"</f>
        <v>Chicken House</v>
      </c>
      <c r="H3809" s="2" t="str">
        <f>"2020"</f>
        <v>2020</v>
      </c>
      <c r="I3809" s="3" t="str">
        <f>""</f>
        <v/>
      </c>
    </row>
    <row r="3810" spans="1:9" x14ac:dyDescent="0.3">
      <c r="A3810" s="2">
        <v>3809</v>
      </c>
      <c r="B3810" s="4" t="s">
        <v>53</v>
      </c>
      <c r="C3810" s="3" t="str">
        <f>"TFC000004574"</f>
        <v>TFC000004574</v>
      </c>
      <c r="D3810" s="3" t="str">
        <f>"F800-22-0383-(AR5.2)"</f>
        <v>F800-22-0383-(AR5.2)</v>
      </c>
      <c r="E3810" s="3" t="str">
        <f>"Katarina Ballerina"</f>
        <v>Katarina Ballerina</v>
      </c>
      <c r="F3810" s="3" t="str">
        <f>"by Tiler Peck &amp; Kyle Harris, illustrated by Sumiti Collina"</f>
        <v>by Tiler Peck &amp; Kyle Harris, illustrated by Sumiti Collina</v>
      </c>
      <c r="G3810" s="3" t="str">
        <f>"Aladdin"</f>
        <v>Aladdin</v>
      </c>
      <c r="H3810" s="2" t="str">
        <f>"2020"</f>
        <v>2020</v>
      </c>
      <c r="I3810" s="3" t="str">
        <f>""</f>
        <v/>
      </c>
    </row>
    <row r="3811" spans="1:9" x14ac:dyDescent="0.3">
      <c r="A3811" s="2">
        <v>3810</v>
      </c>
      <c r="B3811" s="4" t="s">
        <v>53</v>
      </c>
      <c r="C3811" s="3" t="str">
        <f>"TFC000004575"</f>
        <v>TFC000004575</v>
      </c>
      <c r="D3811" s="3" t="str">
        <f>"F800-22-0384-(AR5.2)"</f>
        <v>F800-22-0384-(AR5.2)</v>
      </c>
      <c r="E3811" s="3" t="str">
        <f>"Warriors : A warrior's spirit"</f>
        <v>Warriors : A warrior's spirit</v>
      </c>
      <c r="F3811" s="3" t="str">
        <f>"by Erin Hunter"</f>
        <v>by Erin Hunter</v>
      </c>
      <c r="G3811" s="3" t="str">
        <f>"Harper(HarperCollins)"</f>
        <v>Harper(HarperCollins)</v>
      </c>
      <c r="H3811" s="2" t="str">
        <f>"2020"</f>
        <v>2020</v>
      </c>
      <c r="I3811" s="3" t="str">
        <f>""</f>
        <v/>
      </c>
    </row>
    <row r="3812" spans="1:9" x14ac:dyDescent="0.3">
      <c r="A3812" s="2">
        <v>3811</v>
      </c>
      <c r="B3812" s="4" t="s">
        <v>53</v>
      </c>
      <c r="C3812" s="3" t="str">
        <f>"TFC000004576"</f>
        <v>TFC000004576</v>
      </c>
      <c r="D3812" s="3" t="str">
        <f>"F300-22-0385-(AR5.2)"</f>
        <v>F300-22-0385-(AR5.2)</v>
      </c>
      <c r="E3812" s="3" t="str">
        <f>"What Is Asian-Black Solidarity?"</f>
        <v>What Is Asian-Black Solidarity?</v>
      </c>
      <c r="F3812" s="3" t="str">
        <f>"by Virginia Loh-Hagan"</f>
        <v>by Virginia Loh-Hagan</v>
      </c>
      <c r="G3812" s="3" t="str">
        <f>"Cherry Lake Publishing"</f>
        <v>Cherry Lake Publishing</v>
      </c>
      <c r="H3812" s="2" t="str">
        <f>"2022"</f>
        <v>2022</v>
      </c>
      <c r="I3812" s="3" t="str">
        <f>""</f>
        <v/>
      </c>
    </row>
    <row r="3813" spans="1:9" x14ac:dyDescent="0.3">
      <c r="A3813" s="2">
        <v>3812</v>
      </c>
      <c r="B3813" s="4" t="s">
        <v>53</v>
      </c>
      <c r="C3813" s="3" t="str">
        <f>"TFC000004101"</f>
        <v>TFC000004101</v>
      </c>
      <c r="D3813" s="3" t="str">
        <f>"F800-21-0873-1(AR 5.2)"</f>
        <v>F800-21-0873-1(AR 5.2)</v>
      </c>
      <c r="E3813" s="3" t="str">
        <f>"Diary of a Wimpy Kid. [1]"</f>
        <v>Diary of a Wimpy Kid. [1]</v>
      </c>
      <c r="F3813" s="3" t="str">
        <f>"by Jeff Kinney"</f>
        <v>by Jeff Kinney</v>
      </c>
      <c r="G3813" s="3" t="str">
        <f>"Amulet Books"</f>
        <v>Amulet Books</v>
      </c>
      <c r="H3813" s="2" t="str">
        <f>"2007"</f>
        <v>2007</v>
      </c>
      <c r="I3813" s="3" t="str">
        <f>""</f>
        <v/>
      </c>
    </row>
    <row r="3814" spans="1:9" x14ac:dyDescent="0.3">
      <c r="A3814" s="2">
        <v>3813</v>
      </c>
      <c r="B3814" s="4" t="s">
        <v>54</v>
      </c>
      <c r="C3814" s="3" t="str">
        <f>"TFC000002509"</f>
        <v>TFC000002509</v>
      </c>
      <c r="D3814" s="3" t="str">
        <f>"F500-20-2823-(AR 5.3)"</f>
        <v>F500-20-2823-(AR 5.3)</v>
      </c>
      <c r="E3814" s="3" t="str">
        <f>"Do tornadoes really twist? : questions and answers about tornadoes and hurricanes"</f>
        <v>Do tornadoes really twist? : questions and answers about tornadoes and hurricanes</v>
      </c>
      <c r="F3814" s="3" t="str">
        <f>"by Melvin Berger, Gilda Berger ; illustrated by Higgins Bond"</f>
        <v>by Melvin Berger, Gilda Berger ; illustrated by Higgins Bond</v>
      </c>
      <c r="G3814" s="3" t="str">
        <f>"Scholastic"</f>
        <v>Scholastic</v>
      </c>
      <c r="H3814" s="2" t="str">
        <f>"2000"</f>
        <v>2000</v>
      </c>
      <c r="I3814" s="3" t="str">
        <f>""</f>
        <v/>
      </c>
    </row>
    <row r="3815" spans="1:9" x14ac:dyDescent="0.3">
      <c r="A3815" s="2">
        <v>3814</v>
      </c>
      <c r="B3815" s="4" t="s">
        <v>54</v>
      </c>
      <c r="C3815" s="3" t="str">
        <f>"TFC000002510"</f>
        <v>TFC000002510</v>
      </c>
      <c r="D3815" s="3" t="str">
        <f>"F840-20-2824-(AR 5.3)"</f>
        <v>F840-20-2824-(AR 5.3)</v>
      </c>
      <c r="E3815" s="3" t="str">
        <f>"Out of the dust"</f>
        <v>Out of the dust</v>
      </c>
      <c r="F3815" s="3" t="str">
        <f>"Karen Hesse"</f>
        <v>Karen Hesse</v>
      </c>
      <c r="G3815" s="3" t="str">
        <f>"Scholastic"</f>
        <v>Scholastic</v>
      </c>
      <c r="H3815" s="2" t="str">
        <f>"1999"</f>
        <v>1999</v>
      </c>
      <c r="I3815" s="3" t="str">
        <f>""</f>
        <v/>
      </c>
    </row>
    <row r="3816" spans="1:9" x14ac:dyDescent="0.3">
      <c r="A3816" s="2">
        <v>3815</v>
      </c>
      <c r="B3816" s="4" t="s">
        <v>54</v>
      </c>
      <c r="C3816" s="3" t="str">
        <f>"TFC000002512"</f>
        <v>TFC000002512</v>
      </c>
      <c r="D3816" s="3" t="str">
        <f>"F800-20-2826-(AR 5.3)"</f>
        <v>F800-20-2826-(AR 5.3)</v>
      </c>
      <c r="E3816" s="3" t="str">
        <f>"Sounder"</f>
        <v>Sounder</v>
      </c>
      <c r="F3816" s="3" t="str">
        <f>"William H. Armstrong, illustrations by James Barkely"</f>
        <v>William H. Armstrong, illustrations by James Barkely</v>
      </c>
      <c r="G3816" s="3" t="str">
        <f>"HaperTrophy"</f>
        <v>HaperTrophy</v>
      </c>
      <c r="H3816" s="2" t="str">
        <f>"2002"</f>
        <v>2002</v>
      </c>
      <c r="I3816" s="3" t="str">
        <f>""</f>
        <v/>
      </c>
    </row>
    <row r="3817" spans="1:9" x14ac:dyDescent="0.3">
      <c r="A3817" s="2">
        <v>3816</v>
      </c>
      <c r="B3817" s="4" t="s">
        <v>54</v>
      </c>
      <c r="C3817" s="3" t="str">
        <f>"TFC000002513"</f>
        <v>TFC000002513</v>
      </c>
      <c r="D3817" s="3" t="str">
        <f>"F800-20-2827-(AR 5.3)"</f>
        <v>F800-20-2827-(AR 5.3)</v>
      </c>
      <c r="E3817" s="3" t="str">
        <f>"Misty of Chincoteague"</f>
        <v>Misty of Chincoteague</v>
      </c>
      <c r="F3817" s="3" t="str">
        <f>"by Marguerite Henry ; illustrated by Wesley Dennis"</f>
        <v>by Marguerite Henry ; illustrated by Wesley Dennis</v>
      </c>
      <c r="G3817" s="3" t="str">
        <f>"Aladdin"</f>
        <v>Aladdin</v>
      </c>
      <c r="H3817" s="2" t="str">
        <f>"2015"</f>
        <v>2015</v>
      </c>
      <c r="I3817" s="3" t="str">
        <f>""</f>
        <v/>
      </c>
    </row>
    <row r="3818" spans="1:9" x14ac:dyDescent="0.3">
      <c r="A3818" s="2">
        <v>3817</v>
      </c>
      <c r="B3818" s="4" t="s">
        <v>54</v>
      </c>
      <c r="C3818" s="3" t="str">
        <f>"TFC000002514"</f>
        <v>TFC000002514</v>
      </c>
      <c r="D3818" s="3" t="str">
        <f>"F800-20-2828-(AR 5.3)"</f>
        <v>F800-20-2828-(AR 5.3)</v>
      </c>
      <c r="E3818" s="3" t="str">
        <f>"(The tale of)gloucester"</f>
        <v>(The tale of)gloucester</v>
      </c>
      <c r="F3818" s="3" t="str">
        <f>"Beatrix Potter"</f>
        <v>Beatrix Potter</v>
      </c>
      <c r="G3818" s="3" t="str">
        <f>"Frederick Warne"</f>
        <v>Frederick Warne</v>
      </c>
      <c r="H3818" s="2" t="str">
        <f>"1903"</f>
        <v>1903</v>
      </c>
      <c r="I3818" s="3" t="str">
        <f>""</f>
        <v/>
      </c>
    </row>
    <row r="3819" spans="1:9" x14ac:dyDescent="0.3">
      <c r="A3819" s="2">
        <v>3818</v>
      </c>
      <c r="B3819" s="4" t="s">
        <v>54</v>
      </c>
      <c r="C3819" s="3" t="str">
        <f>"TFC000002515"</f>
        <v>TFC000002515</v>
      </c>
      <c r="D3819" s="3" t="str">
        <f>"F800-20-2829-(AR 5.3)"</f>
        <v>F800-20-2829-(AR 5.3)</v>
      </c>
      <c r="E3819" s="3" t="str">
        <f>"(The)fireworkMaker's daughter"</f>
        <v>(The)fireworkMaker's daughter</v>
      </c>
      <c r="F3819" s="3" t="str">
        <f>"by Philip Pullman ; illustrated by S. Saelig Gallagher"</f>
        <v>by Philip Pullman ; illustrated by S. Saelig Gallagher</v>
      </c>
      <c r="G3819" s="3" t="str">
        <f>"Scholastic"</f>
        <v>Scholastic</v>
      </c>
      <c r="H3819" s="2" t="str">
        <f>"2006"</f>
        <v>2006</v>
      </c>
      <c r="I3819" s="3" t="str">
        <f>""</f>
        <v/>
      </c>
    </row>
    <row r="3820" spans="1:9" x14ac:dyDescent="0.3">
      <c r="A3820" s="2">
        <v>3819</v>
      </c>
      <c r="B3820" s="4" t="s">
        <v>54</v>
      </c>
      <c r="C3820" s="3" t="str">
        <f>"TFC000002516"</f>
        <v>TFC000002516</v>
      </c>
      <c r="D3820" s="3" t="str">
        <f>"F800-20-2830-(AR 5.3)"</f>
        <v>F800-20-2830-(AR 5.3)</v>
      </c>
      <c r="E3820" s="3" t="str">
        <f>"(The)purloining of Prince Oleomargarine"</f>
        <v>(The)purloining of Prince Oleomargarine</v>
      </c>
      <c r="F3820" s="3" t="str">
        <f>"by Mark Twain, Philip C. Stead ; illustrations by Erin Stead"</f>
        <v>by Mark Twain, Philip C. Stead ; illustrations by Erin Stead</v>
      </c>
      <c r="G3820" s="3" t="str">
        <f>"Doubleday Books for Young Readers"</f>
        <v>Doubleday Books for Young Readers</v>
      </c>
      <c r="H3820" s="2" t="str">
        <f>"2017"</f>
        <v>2017</v>
      </c>
      <c r="I3820" s="3" t="str">
        <f>""</f>
        <v/>
      </c>
    </row>
    <row r="3821" spans="1:9" x14ac:dyDescent="0.3">
      <c r="A3821" s="2">
        <v>3820</v>
      </c>
      <c r="B3821" s="4" t="s">
        <v>54</v>
      </c>
      <c r="C3821" s="3" t="str">
        <f>"TFC000002517"</f>
        <v>TFC000002517</v>
      </c>
      <c r="D3821" s="3" t="str">
        <f>"F800-20-2831-(AR 5.3)"</f>
        <v>F800-20-2831-(AR 5.3)</v>
      </c>
      <c r="E3821" s="3" t="str">
        <f>"(The)true confessions of Charlotte Doyle"</f>
        <v>(The)true confessions of Charlotte Doyle</v>
      </c>
      <c r="F3821" s="3" t="str">
        <f>"Avi"</f>
        <v>Avi</v>
      </c>
      <c r="G3821" s="3" t="str">
        <f>"Scholastic"</f>
        <v>Scholastic</v>
      </c>
      <c r="H3821" s="2" t="str">
        <f>"2003"</f>
        <v>2003</v>
      </c>
      <c r="I3821" s="3" t="str">
        <f>""</f>
        <v/>
      </c>
    </row>
    <row r="3822" spans="1:9" x14ac:dyDescent="0.3">
      <c r="A3822" s="2">
        <v>3821</v>
      </c>
      <c r="B3822" s="4" t="s">
        <v>54</v>
      </c>
      <c r="C3822" s="3" t="str">
        <f>"TFC000002518"</f>
        <v>TFC000002518</v>
      </c>
      <c r="D3822" s="3" t="str">
        <f>"F800-20-2832-(AR 5.3)"</f>
        <v>F800-20-2832-(AR 5.3)</v>
      </c>
      <c r="E3822" s="3" t="str">
        <f>"Franny K. Stein mad scientist. 7, the frandidate"</f>
        <v>Franny K. Stein mad scientist. 7, the frandidate</v>
      </c>
      <c r="F3822" s="3" t="str">
        <f>"by Jim Benton"</f>
        <v>by Jim Benton</v>
      </c>
      <c r="G3822" s="3" t="str">
        <f>"Simon &amp; Schuster Books for Young Readers"</f>
        <v>Simon &amp; Schuster Books for Young Readers</v>
      </c>
      <c r="H3822" s="2" t="str">
        <f>"2008"</f>
        <v>2008</v>
      </c>
      <c r="I3822" s="3" t="str">
        <f>""</f>
        <v/>
      </c>
    </row>
    <row r="3823" spans="1:9" x14ac:dyDescent="0.3">
      <c r="A3823" s="2">
        <v>3822</v>
      </c>
      <c r="B3823" s="4" t="s">
        <v>54</v>
      </c>
      <c r="C3823" s="3" t="str">
        <f>"TFC000002519"</f>
        <v>TFC000002519</v>
      </c>
      <c r="D3823" s="3" t="str">
        <f>"F800-20-2833-(AR 5.3)"</f>
        <v>F800-20-2833-(AR 5.3)</v>
      </c>
      <c r="E3823" s="3" t="str">
        <f>"(The)family with two front doors"</f>
        <v>(The)family with two front doors</v>
      </c>
      <c r="F3823" s="3" t="str">
        <f>"Anna Ciddor"</f>
        <v>Anna Ciddor</v>
      </c>
      <c r="G3823" s="3" t="str">
        <f>"Kar-Ben Publishing"</f>
        <v>Kar-Ben Publishing</v>
      </c>
      <c r="H3823" s="2" t="str">
        <f>"2018"</f>
        <v>2018</v>
      </c>
      <c r="I3823" s="3" t="str">
        <f>""</f>
        <v/>
      </c>
    </row>
    <row r="3824" spans="1:9" x14ac:dyDescent="0.3">
      <c r="A3824" s="2">
        <v>3823</v>
      </c>
      <c r="B3824" s="4" t="s">
        <v>54</v>
      </c>
      <c r="C3824" s="3" t="str">
        <f>"TFC000002520"</f>
        <v>TFC000002520</v>
      </c>
      <c r="D3824" s="3" t="str">
        <f>"F800-20-2834-(AR 5.3)"</f>
        <v>F800-20-2834-(AR 5.3)</v>
      </c>
      <c r="E3824" s="3" t="str">
        <f>"Henry and the paper route"</f>
        <v>Henry and the paper route</v>
      </c>
      <c r="F3824" s="3" t="str">
        <f>"by Beverly Cleary ; illustrated by Tracy Dockray"</f>
        <v>by Beverly Cleary ; illustrated by Tracy Dockray</v>
      </c>
      <c r="G3824" s="3" t="str">
        <f>"HarperTrophy"</f>
        <v>HarperTrophy</v>
      </c>
      <c r="H3824" s="2" t="str">
        <f>"2014"</f>
        <v>2014</v>
      </c>
      <c r="I3824" s="3" t="str">
        <f>""</f>
        <v/>
      </c>
    </row>
    <row r="3825" spans="1:9" x14ac:dyDescent="0.3">
      <c r="A3825" s="2">
        <v>3824</v>
      </c>
      <c r="B3825" s="4" t="s">
        <v>54</v>
      </c>
      <c r="C3825" s="3" t="str">
        <f>"TFC000002521"</f>
        <v>TFC000002521</v>
      </c>
      <c r="D3825" s="3" t="str">
        <f>"F800-20-2835-(AR 5.3)"</f>
        <v>F800-20-2835-(AR 5.3)</v>
      </c>
      <c r="E3825" s="3" t="str">
        <f>"Runaway Ralph"</f>
        <v>Runaway Ralph</v>
      </c>
      <c r="F3825" s="3" t="str">
        <f>"by Beverly Cleary ; illustrated by Tracy Dockray"</f>
        <v>by Beverly Cleary ; illustrated by Tracy Dockray</v>
      </c>
      <c r="G3825" s="3" t="str">
        <f>"HarperTrophy"</f>
        <v>HarperTrophy</v>
      </c>
      <c r="H3825" s="2" t="str">
        <f>"2006"</f>
        <v>2006</v>
      </c>
      <c r="I3825" s="3" t="str">
        <f>""</f>
        <v/>
      </c>
    </row>
    <row r="3826" spans="1:9" x14ac:dyDescent="0.3">
      <c r="A3826" s="2">
        <v>3825</v>
      </c>
      <c r="B3826" s="4" t="s">
        <v>54</v>
      </c>
      <c r="C3826" s="3" t="str">
        <f>"TFC000002522"</f>
        <v>TFC000002522</v>
      </c>
      <c r="D3826" s="3" t="str">
        <f>"F800-20-2836-(AR 5.3)"</f>
        <v>F800-20-2836-(AR 5.3)</v>
      </c>
      <c r="E3826" s="3" t="str">
        <f>"Extra credit"</f>
        <v>Extra credit</v>
      </c>
      <c r="F3826" s="3" t="str">
        <f>"Andrew Clements ; illustrated by Mark Elliott"</f>
        <v>Andrew Clements ; illustrated by Mark Elliott</v>
      </c>
      <c r="G3826" s="3" t="str">
        <f>"Atheneum Books for Young Readers"</f>
        <v>Atheneum Books for Young Readers</v>
      </c>
      <c r="H3826" s="2" t="str">
        <f>"2011"</f>
        <v>2011</v>
      </c>
      <c r="I3826" s="3" t="str">
        <f>""</f>
        <v/>
      </c>
    </row>
    <row r="3827" spans="1:9" x14ac:dyDescent="0.3">
      <c r="A3827" s="2">
        <v>3826</v>
      </c>
      <c r="B3827" s="4" t="s">
        <v>54</v>
      </c>
      <c r="C3827" s="3" t="str">
        <f>"TFC000002524"</f>
        <v>TFC000002524</v>
      </c>
      <c r="D3827" s="3" t="str">
        <f>"F800-20-2838-(AR 5.3)"</f>
        <v>F800-20-2838-(AR 5.3)</v>
      </c>
      <c r="E3827" s="3" t="str">
        <f>"(The)Mother Goose diaries"</f>
        <v>(The)Mother Goose diaries</v>
      </c>
      <c r="F3827" s="3" t="str">
        <f>"by Chris Colfer"</f>
        <v>by Chris Colfer</v>
      </c>
      <c r="G3827" s="3" t="str">
        <f>"Little Brown and Company"</f>
        <v>Little Brown and Company</v>
      </c>
      <c r="H3827" s="2" t="str">
        <f>"2017"</f>
        <v>2017</v>
      </c>
      <c r="I3827" s="3" t="str">
        <f>""</f>
        <v/>
      </c>
    </row>
    <row r="3828" spans="1:9" x14ac:dyDescent="0.3">
      <c r="A3828" s="2">
        <v>3827</v>
      </c>
      <c r="B3828" s="4" t="s">
        <v>54</v>
      </c>
      <c r="C3828" s="3" t="str">
        <f>"TFC000002526"</f>
        <v>TFC000002526</v>
      </c>
      <c r="D3828" s="3" t="str">
        <f>"F800-20-2840-(AR 5.3)"</f>
        <v>F800-20-2840-(AR 5.3)</v>
      </c>
      <c r="E3828" s="3" t="str">
        <f>"Ida B : ...and her plans to maximize fun, avoid disaster, and (possibly) save the world"</f>
        <v>Ida B : ...and her plans to maximize fun, avoid disaster, and (possibly) save the world</v>
      </c>
      <c r="F3828" s="3" t="str">
        <f>"Katherine Hannigan"</f>
        <v>Katherine Hannigan</v>
      </c>
      <c r="G3828" s="3" t="str">
        <f>"Harper Trophy"</f>
        <v>Harper Trophy</v>
      </c>
      <c r="H3828" s="2" t="str">
        <f>"2011"</f>
        <v>2011</v>
      </c>
      <c r="I3828" s="3" t="str">
        <f>""</f>
        <v/>
      </c>
    </row>
    <row r="3829" spans="1:9" x14ac:dyDescent="0.3">
      <c r="A3829" s="2">
        <v>3828</v>
      </c>
      <c r="B3829" s="4" t="s">
        <v>54</v>
      </c>
      <c r="C3829" s="3" t="str">
        <f>"TFC000002530"</f>
        <v>TFC000002530</v>
      </c>
      <c r="D3829" s="3" t="str">
        <f>"F800-20-2844-(AR 5.3)"</f>
        <v>F800-20-2844-(AR 5.3)</v>
      </c>
      <c r="E3829" s="3" t="str">
        <f>"(The)westing game"</f>
        <v>(The)westing game</v>
      </c>
      <c r="F3829" s="3" t="str">
        <f>"Ellen Raskin"</f>
        <v>Ellen Raskin</v>
      </c>
      <c r="G3829" s="3" t="str">
        <f>"Puffin Books"</f>
        <v>Puffin Books</v>
      </c>
      <c r="H3829" s="2" t="str">
        <f>"2004"</f>
        <v>2004</v>
      </c>
      <c r="I3829" s="3" t="str">
        <f>""</f>
        <v/>
      </c>
    </row>
    <row r="3830" spans="1:9" x14ac:dyDescent="0.3">
      <c r="A3830" s="2">
        <v>3829</v>
      </c>
      <c r="B3830" s="4" t="s">
        <v>54</v>
      </c>
      <c r="C3830" s="3" t="str">
        <f>"TFC000002531"</f>
        <v>TFC000002531</v>
      </c>
      <c r="D3830" s="3" t="str">
        <f>"F800-20-2845-(AR 5.3)"</f>
        <v>F800-20-2845-(AR 5.3)</v>
      </c>
      <c r="E3830" s="3" t="str">
        <f>"Missing may"</f>
        <v>Missing may</v>
      </c>
      <c r="F3830" s="3" t="str">
        <f>"Cynthia Rylant"</f>
        <v>Cynthia Rylant</v>
      </c>
      <c r="G3830" s="3" t="str">
        <f>"Scholastic"</f>
        <v>Scholastic</v>
      </c>
      <c r="H3830" s="2" t="str">
        <f>"2018"</f>
        <v>2018</v>
      </c>
      <c r="I3830" s="3" t="str">
        <f>""</f>
        <v/>
      </c>
    </row>
    <row r="3831" spans="1:9" x14ac:dyDescent="0.3">
      <c r="A3831" s="2">
        <v>3830</v>
      </c>
      <c r="B3831" s="4" t="s">
        <v>54</v>
      </c>
      <c r="C3831" s="3" t="str">
        <f>"TFC000002532"</f>
        <v>TFC000002532</v>
      </c>
      <c r="D3831" s="3" t="str">
        <f>"F800-20-2846-(AR 5.3)"</f>
        <v>F800-20-2846-(AR 5.3)</v>
      </c>
      <c r="E3831" s="3" t="str">
        <f>"(The)headless cupid"</f>
        <v>(The)headless cupid</v>
      </c>
      <c r="F3831" s="3" t="str">
        <f>"Zilpha Keatley Snyder ; illustrated by Alton Raible"</f>
        <v>Zilpha Keatley Snyder ; illustrated by Alton Raible</v>
      </c>
      <c r="G3831" s="3" t="str">
        <f>"Atheneum Books for Young Readers"</f>
        <v>Atheneum Books for Young Readers</v>
      </c>
      <c r="H3831" s="2" t="str">
        <f>"2009"</f>
        <v>2009</v>
      </c>
      <c r="I3831" s="3" t="str">
        <f>""</f>
        <v/>
      </c>
    </row>
    <row r="3832" spans="1:9" x14ac:dyDescent="0.3">
      <c r="A3832" s="2">
        <v>3831</v>
      </c>
      <c r="B3832" s="4" t="s">
        <v>54</v>
      </c>
      <c r="C3832" s="3" t="str">
        <f>"TFC000002533"</f>
        <v>TFC000002533</v>
      </c>
      <c r="D3832" s="3" t="str">
        <f>"F800-20-2847-(AR 5.3)"</f>
        <v>F800-20-2847-(AR 5.3)</v>
      </c>
      <c r="E3832" s="3" t="str">
        <f>"(The)39 clues. 8, the emperor's code"</f>
        <v>(The)39 clues. 8, the emperor's code</v>
      </c>
      <c r="F3832" s="3" t="str">
        <f>"Gordon Korman"</f>
        <v>Gordon Korman</v>
      </c>
      <c r="G3832" s="3" t="str">
        <f>"Scholastic"</f>
        <v>Scholastic</v>
      </c>
      <c r="H3832" s="2" t="str">
        <f>"2010"</f>
        <v>2010</v>
      </c>
      <c r="I3832" s="3" t="str">
        <f>""</f>
        <v/>
      </c>
    </row>
    <row r="3833" spans="1:9" x14ac:dyDescent="0.3">
      <c r="A3833" s="2">
        <v>3832</v>
      </c>
      <c r="B3833" s="4" t="s">
        <v>54</v>
      </c>
      <c r="C3833" s="3" t="str">
        <f>"TFC000002534"</f>
        <v>TFC000002534</v>
      </c>
      <c r="D3833" s="3" t="str">
        <f>"F800-20-2848-(AR 5.3)"</f>
        <v>F800-20-2848-(AR 5.3)</v>
      </c>
      <c r="E3833" s="3" t="str">
        <f>"Other words for home"</f>
        <v>Other words for home</v>
      </c>
      <c r="F3833" s="3" t="str">
        <f>"Jasmine Warga"</f>
        <v>Jasmine Warga</v>
      </c>
      <c r="G3833" s="3" t="str">
        <f>"Balzer &amp; Bray"</f>
        <v>Balzer &amp; Bray</v>
      </c>
      <c r="H3833" s="2" t="str">
        <f>"2019"</f>
        <v>2019</v>
      </c>
      <c r="I3833" s="3" t="str">
        <f>""</f>
        <v/>
      </c>
    </row>
    <row r="3834" spans="1:9" x14ac:dyDescent="0.3">
      <c r="A3834" s="2">
        <v>3833</v>
      </c>
      <c r="B3834" s="4" t="s">
        <v>54</v>
      </c>
      <c r="C3834" s="3" t="str">
        <f>"TFC000002536"</f>
        <v>TFC000002536</v>
      </c>
      <c r="D3834" s="3" t="str">
        <f>"F800-20-2850-(AR 5.3)"</f>
        <v>F800-20-2850-(AR 5.3)</v>
      </c>
      <c r="E3834" s="3" t="str">
        <f>"Esperanza rising"</f>
        <v>Esperanza rising</v>
      </c>
      <c r="F3834" s="3" t="str">
        <f>"Pam Munoz Ryan"</f>
        <v>Pam Munoz Ryan</v>
      </c>
      <c r="G3834" s="3" t="str">
        <f>"Scholastic"</f>
        <v>Scholastic</v>
      </c>
      <c r="H3834" s="2" t="str">
        <f>"2018"</f>
        <v>2018</v>
      </c>
      <c r="I3834" s="3" t="str">
        <f>""</f>
        <v/>
      </c>
    </row>
    <row r="3835" spans="1:9" x14ac:dyDescent="0.3">
      <c r="A3835" s="2">
        <v>3834</v>
      </c>
      <c r="B3835" s="4" t="s">
        <v>54</v>
      </c>
      <c r="C3835" s="3" t="str">
        <f>"TFC000002537"</f>
        <v>TFC000002537</v>
      </c>
      <c r="D3835" s="3" t="str">
        <f>"F800-20-2851-(AR 5.3)"</f>
        <v>F800-20-2851-(AR 5.3)</v>
      </c>
      <c r="E3835" s="3" t="str">
        <f>"Pinocchio"</f>
        <v>Pinocchio</v>
      </c>
      <c r="F3835" s="3" t="str">
        <f>"Carlo Collodi ; translated by E. Harden"</f>
        <v>Carlo Collodi ; translated by E. Harden</v>
      </c>
      <c r="G3835" s="3" t="str">
        <f>"Puffin"</f>
        <v>Puffin</v>
      </c>
      <c r="H3835" s="2" t="str">
        <f>"2016"</f>
        <v>2016</v>
      </c>
      <c r="I3835" s="3" t="str">
        <f>""</f>
        <v/>
      </c>
    </row>
    <row r="3836" spans="1:9" x14ac:dyDescent="0.3">
      <c r="A3836" s="2">
        <v>3835</v>
      </c>
      <c r="B3836" s="4" t="s">
        <v>54</v>
      </c>
      <c r="C3836" s="3" t="str">
        <f>"TFC000002538"</f>
        <v>TFC000002538</v>
      </c>
      <c r="D3836" s="3" t="str">
        <f>"F800-20-2852-(AR 5.3)"</f>
        <v>F800-20-2852-(AR 5.3)</v>
      </c>
      <c r="E3836" s="3" t="str">
        <f>"Thea Stilton and the star castaways"</f>
        <v>Thea Stilton and the star castaways</v>
      </c>
      <c r="F3836" s="3" t="str">
        <f>"text by Thea Stilton ; illustrations by Alessandro Battan [et al.] ; translated by Julia Heim"</f>
        <v>text by Thea Stilton ; illustrations by Alessandro Battan [et al.] ; translated by Julia Heim</v>
      </c>
      <c r="G3836" s="3" t="str">
        <f>"Scholastic"</f>
        <v>Scholastic</v>
      </c>
      <c r="H3836" s="2" t="str">
        <f>"2011"</f>
        <v>2011</v>
      </c>
      <c r="I3836" s="3" t="str">
        <f>""</f>
        <v/>
      </c>
    </row>
    <row r="3837" spans="1:9" x14ac:dyDescent="0.3">
      <c r="A3837" s="2">
        <v>3836</v>
      </c>
      <c r="B3837" s="4" t="s">
        <v>54</v>
      </c>
      <c r="C3837" s="3" t="str">
        <f>"TFC000002539"</f>
        <v>TFC000002539</v>
      </c>
      <c r="D3837" s="3" t="str">
        <f>"F900-20-2856-(AR 5.3)"</f>
        <v>F900-20-2856-(AR 5.3)</v>
      </c>
      <c r="E3837" s="3" t="str">
        <f>"Who was Robert E. Lee?"</f>
        <v>Who was Robert E. Lee?</v>
      </c>
      <c r="F3837" s="3" t="str">
        <f>"by Bonnie Bader ; illustrated by John O'Brien"</f>
        <v>by Bonnie Bader ; illustrated by John O'Brien</v>
      </c>
      <c r="G3837" s="3" t="str">
        <f>"Penguin Workshop"</f>
        <v>Penguin Workshop</v>
      </c>
      <c r="H3837" s="2" t="str">
        <f>"2015"</f>
        <v>2015</v>
      </c>
      <c r="I3837" s="3" t="str">
        <f>""</f>
        <v/>
      </c>
    </row>
    <row r="3838" spans="1:9" x14ac:dyDescent="0.3">
      <c r="A3838" s="2">
        <v>3837</v>
      </c>
      <c r="B3838" s="4" t="s">
        <v>54</v>
      </c>
      <c r="C3838" s="3" t="str">
        <f>"TFC000002540"</f>
        <v>TFC000002540</v>
      </c>
      <c r="D3838" s="3" t="str">
        <f>"F900-20-2857-(AR 5.3)"</f>
        <v>F900-20-2857-(AR 5.3)</v>
      </c>
      <c r="E3838" s="3" t="str">
        <f>"Who was Queen Elizabeth?"</f>
        <v>Who was Queen Elizabeth?</v>
      </c>
      <c r="F3838" s="3" t="str">
        <f>"by June Eding ; illustrated by Nancy Harrison"</f>
        <v>by June Eding ; illustrated by Nancy Harrison</v>
      </c>
      <c r="G3838" s="3" t="str">
        <f>"Grosset &amp; Dunlap"</f>
        <v>Grosset &amp; Dunlap</v>
      </c>
      <c r="H3838" s="2" t="str">
        <f>"2008"</f>
        <v>2008</v>
      </c>
      <c r="I3838" s="3" t="str">
        <f>""</f>
        <v/>
      </c>
    </row>
    <row r="3839" spans="1:9" x14ac:dyDescent="0.3">
      <c r="A3839" s="2">
        <v>3838</v>
      </c>
      <c r="B3839" s="4" t="s">
        <v>54</v>
      </c>
      <c r="C3839" s="3" t="str">
        <f>"TFC000002541"</f>
        <v>TFC000002541</v>
      </c>
      <c r="D3839" s="3" t="str">
        <f>"F900-20-2858-(AR 5.3)"</f>
        <v>F900-20-2858-(AR 5.3)</v>
      </c>
      <c r="E3839" s="3" t="str">
        <f>"Who was Thomas Jefferson?"</f>
        <v>Who was Thomas Jefferson?</v>
      </c>
      <c r="F3839" s="3" t="str">
        <f>"by Dennis Brindell Fradin ; illustrated by John O'Brien"</f>
        <v>by Dennis Brindell Fradin ; illustrated by John O'Brien</v>
      </c>
      <c r="G3839" s="3" t="str">
        <f>"Grosset &amp; Dunlap"</f>
        <v>Grosset &amp; Dunlap</v>
      </c>
      <c r="H3839" s="2" t="str">
        <f>"2003"</f>
        <v>2003</v>
      </c>
      <c r="I3839" s="3" t="str">
        <f>""</f>
        <v/>
      </c>
    </row>
    <row r="3840" spans="1:9" x14ac:dyDescent="0.3">
      <c r="A3840" s="2">
        <v>3839</v>
      </c>
      <c r="B3840" s="4" t="s">
        <v>54</v>
      </c>
      <c r="C3840" s="3" t="str">
        <f>"TFC000002542"</f>
        <v>TFC000002542</v>
      </c>
      <c r="D3840" s="3" t="str">
        <f>"F900-20-2859-(AR 5.3)"</f>
        <v>F900-20-2859-(AR 5.3)</v>
      </c>
      <c r="E3840" s="3" t="str">
        <f>"Who was Louis Braille?"</f>
        <v>Who was Louis Braille?</v>
      </c>
      <c r="F3840" s="3" t="str">
        <f>"by Margaret Frith ; illustrated by Robert Squier"</f>
        <v>by Margaret Frith ; illustrated by Robert Squier</v>
      </c>
      <c r="G3840" s="3" t="str">
        <f>"Penguin Workshop"</f>
        <v>Penguin Workshop</v>
      </c>
      <c r="H3840" s="2" t="str">
        <f>"2015"</f>
        <v>2015</v>
      </c>
      <c r="I3840" s="3" t="str">
        <f>""</f>
        <v/>
      </c>
    </row>
    <row r="3841" spans="1:9" x14ac:dyDescent="0.3">
      <c r="A3841" s="2">
        <v>3840</v>
      </c>
      <c r="B3841" s="4" t="s">
        <v>54</v>
      </c>
      <c r="C3841" s="3" t="str">
        <f>"TFC000002543"</f>
        <v>TFC000002543</v>
      </c>
      <c r="D3841" s="3" t="str">
        <f>"F900-20-2860-(AR 5.3)"</f>
        <v>F900-20-2860-(AR 5.3)</v>
      </c>
      <c r="E3841" s="3" t="str">
        <f>"Who was Thomas Alva Edison?"</f>
        <v>Who was Thomas Alva Edison?</v>
      </c>
      <c r="F3841" s="3" t="str">
        <f>"by Margaret Frith ; illustrated by John O'Brien"</f>
        <v>by Margaret Frith ; illustrated by John O'Brien</v>
      </c>
      <c r="G3841" s="3" t="str">
        <f>"Grosset &amp; Dunlap"</f>
        <v>Grosset &amp; Dunlap</v>
      </c>
      <c r="H3841" s="2" t="str">
        <f>"2005"</f>
        <v>2005</v>
      </c>
      <c r="I3841" s="3" t="str">
        <f>""</f>
        <v/>
      </c>
    </row>
    <row r="3842" spans="1:9" x14ac:dyDescent="0.3">
      <c r="A3842" s="2">
        <v>3841</v>
      </c>
      <c r="B3842" s="4" t="s">
        <v>54</v>
      </c>
      <c r="C3842" s="3" t="str">
        <f>"TFC000002544"</f>
        <v>TFC000002544</v>
      </c>
      <c r="D3842" s="3" t="str">
        <f>"F900-20-2861-(AR 5.3)"</f>
        <v>F900-20-2861-(AR 5.3)</v>
      </c>
      <c r="E3842" s="3" t="str">
        <f>"Who was Wolfgang Amadeus Mozart?"</f>
        <v>Who was Wolfgang Amadeus Mozart?</v>
      </c>
      <c r="F3842" s="3" t="str">
        <f>"by Yona Zeldis McDonough ; illustrated by Carrie Robbins"</f>
        <v>by Yona Zeldis McDonough ; illustrated by Carrie Robbins</v>
      </c>
      <c r="G3842" s="3" t="str">
        <f>"Grosset &amp; Dunlap"</f>
        <v>Grosset &amp; Dunlap</v>
      </c>
      <c r="H3842" s="2" t="str">
        <f>"2003"</f>
        <v>2003</v>
      </c>
      <c r="I3842" s="3" t="str">
        <f>""</f>
        <v/>
      </c>
    </row>
    <row r="3843" spans="1:9" x14ac:dyDescent="0.3">
      <c r="A3843" s="2">
        <v>3842</v>
      </c>
      <c r="B3843" s="4" t="s">
        <v>54</v>
      </c>
      <c r="C3843" s="3" t="str">
        <f>"TFC000002545"</f>
        <v>TFC000002545</v>
      </c>
      <c r="D3843" s="3" t="str">
        <f>"F900-20-2862-(AR 5.3)"</f>
        <v>F900-20-2862-(AR 5.3)</v>
      </c>
      <c r="E3843" s="3" t="str">
        <f>"Who is Bob Dylan?"</f>
        <v>Who is Bob Dylan?</v>
      </c>
      <c r="F3843" s="3" t="str">
        <f>"by Jim O'Connor ; illustrated by John O'Brien"</f>
        <v>by Jim O'Connor ; illustrated by John O'Brien</v>
      </c>
      <c r="G3843" s="3" t="str">
        <f>"Penguin Workshop"</f>
        <v>Penguin Workshop</v>
      </c>
      <c r="H3843" s="2" t="str">
        <f>"2013"</f>
        <v>2013</v>
      </c>
      <c r="I3843" s="3" t="str">
        <f>""</f>
        <v/>
      </c>
    </row>
    <row r="3844" spans="1:9" x14ac:dyDescent="0.3">
      <c r="A3844" s="2">
        <v>3843</v>
      </c>
      <c r="B3844" s="4" t="s">
        <v>54</v>
      </c>
      <c r="C3844" s="3" t="str">
        <f>"TFC000002546"</f>
        <v>TFC000002546</v>
      </c>
      <c r="D3844" s="3" t="str">
        <f>"F900-20-2863-(AR 5.3)"</f>
        <v>F900-20-2863-(AR 5.3)</v>
      </c>
      <c r="E3844" s="3" t="str">
        <f>"Who is Michael Jordan?"</f>
        <v>Who is Michael Jordan?</v>
      </c>
      <c r="F3844" s="3" t="str">
        <f>"by Kirsten Anderson ; illustrated by Dede Putra"</f>
        <v>by Kirsten Anderson ; illustrated by Dede Putra</v>
      </c>
      <c r="G3844" s="3" t="str">
        <f>"Penguin Workshop"</f>
        <v>Penguin Workshop</v>
      </c>
      <c r="H3844" s="2" t="str">
        <f>"2019"</f>
        <v>2019</v>
      </c>
      <c r="I3844" s="3" t="str">
        <f>""</f>
        <v/>
      </c>
    </row>
    <row r="3845" spans="1:9" x14ac:dyDescent="0.3">
      <c r="A3845" s="2">
        <v>3844</v>
      </c>
      <c r="B3845" s="4" t="s">
        <v>54</v>
      </c>
      <c r="C3845" s="3" t="str">
        <f>"TFC000002547"</f>
        <v>TFC000002547</v>
      </c>
      <c r="D3845" s="3" t="str">
        <f>"F900-20-2864-(AR 5.3)"</f>
        <v>F900-20-2864-(AR 5.3)</v>
      </c>
      <c r="E3845" s="3" t="str">
        <f>"Who was Dr. Seuss?"</f>
        <v>Who was Dr. Seuss?</v>
      </c>
      <c r="F3845" s="3" t="str">
        <f>"by Janet B. Pascal ; illustrated by Nancy Harrison"</f>
        <v>by Janet B. Pascal ; illustrated by Nancy Harrison</v>
      </c>
      <c r="G3845" s="3" t="str">
        <f>"Grosset &amp; Dunlap"</f>
        <v>Grosset &amp; Dunlap</v>
      </c>
      <c r="H3845" s="2" t="str">
        <f>"2011"</f>
        <v>2011</v>
      </c>
      <c r="I3845" s="3" t="str">
        <f>""</f>
        <v/>
      </c>
    </row>
    <row r="3846" spans="1:9" x14ac:dyDescent="0.3">
      <c r="A3846" s="2">
        <v>3845</v>
      </c>
      <c r="B3846" s="4" t="s">
        <v>54</v>
      </c>
      <c r="C3846" s="3" t="str">
        <f>"TFC000003041"</f>
        <v>TFC000003041</v>
      </c>
      <c r="D3846" s="3" t="str">
        <f>"F800-20-2853-(AR 5.3)"</f>
        <v>F800-20-2853-(AR 5.3)</v>
      </c>
      <c r="E3846" s="3" t="str">
        <f>"This isn't what it looks like"</f>
        <v>This isn't what it looks like</v>
      </c>
      <c r="F3846" s="3" t="str">
        <f>"by Bosch Pseudonymous ; illustrations by Gilbert Ford"</f>
        <v>by Bosch Pseudonymous ; illustrations by Gilbert Ford</v>
      </c>
      <c r="G3846" s="3" t="str">
        <f>"Little, Brown and Company"</f>
        <v>Little, Brown and Company</v>
      </c>
      <c r="H3846" s="2" t="str">
        <f>"2014"</f>
        <v>2014</v>
      </c>
      <c r="I3846" s="3" t="str">
        <f>""</f>
        <v/>
      </c>
    </row>
    <row r="3847" spans="1:9" x14ac:dyDescent="0.3">
      <c r="A3847" s="2">
        <v>3846</v>
      </c>
      <c r="B3847" s="4" t="s">
        <v>54</v>
      </c>
      <c r="C3847" s="3" t="str">
        <f>"TFC000003058"</f>
        <v>TFC000003058</v>
      </c>
      <c r="D3847" s="3" t="str">
        <f>"F800-20-2854-(AR 5.3)"</f>
        <v>F800-20-2854-(AR 5.3)</v>
      </c>
      <c r="E3847" s="3" t="str">
        <f>"Pay attention, Carter Jones"</f>
        <v>Pay attention, Carter Jones</v>
      </c>
      <c r="F3847" s="3" t="str">
        <f>"Gary D. Schmidt"</f>
        <v>Gary D. Schmidt</v>
      </c>
      <c r="G3847" s="3" t="str">
        <f>"Clarion Books"</f>
        <v>Clarion Books</v>
      </c>
      <c r="H3847" s="2" t="str">
        <f>"2019"</f>
        <v>2019</v>
      </c>
      <c r="I3847" s="3" t="str">
        <f>""</f>
        <v/>
      </c>
    </row>
    <row r="3848" spans="1:9" x14ac:dyDescent="0.3">
      <c r="A3848" s="2">
        <v>3847</v>
      </c>
      <c r="B3848" s="4" t="s">
        <v>54</v>
      </c>
      <c r="C3848" s="3" t="str">
        <f>"TFC000003064"</f>
        <v>TFC000003064</v>
      </c>
      <c r="D3848" s="3" t="str">
        <f>"F800-20-2855-(AR 5.3)"</f>
        <v>F800-20-2855-(AR 5.3)</v>
      </c>
      <c r="E3848" s="3" t="str">
        <f>"Darkness of dragons. 10"</f>
        <v>Darkness of dragons. 10</v>
      </c>
      <c r="F3848" s="3" t="str">
        <f>"by Tui T. Sutherland"</f>
        <v>by Tui T. Sutherland</v>
      </c>
      <c r="G3848" s="3" t="str">
        <f>"Scholastic Press"</f>
        <v>Scholastic Press</v>
      </c>
      <c r="H3848" s="2" t="str">
        <f>"2017"</f>
        <v>2017</v>
      </c>
      <c r="I3848" s="3" t="str">
        <f>""</f>
        <v/>
      </c>
    </row>
    <row r="3849" spans="1:9" x14ac:dyDescent="0.3">
      <c r="A3849" s="2">
        <v>3848</v>
      </c>
      <c r="B3849" s="4" t="s">
        <v>54</v>
      </c>
      <c r="C3849" s="3" t="str">
        <f>"TFC000003662"</f>
        <v>TFC000003662</v>
      </c>
      <c r="D3849" s="3" t="str">
        <f>"F800-21-0878-(AR 5.3)"</f>
        <v>F800-21-0878-(AR 5.3)</v>
      </c>
      <c r="E3849" s="3" t="str">
        <f>"Moon rising. 6"</f>
        <v>Moon rising. 6</v>
      </c>
      <c r="F3849" s="3" t="str">
        <f>"by Tui T. Sutherland"</f>
        <v>by Tui T. Sutherland</v>
      </c>
      <c r="G3849" s="3" t="str">
        <f>"Scholastic"</f>
        <v>Scholastic</v>
      </c>
      <c r="H3849" s="2" t="str">
        <f>"2016"</f>
        <v>2016</v>
      </c>
      <c r="I3849" s="3" t="str">
        <f>""</f>
        <v/>
      </c>
    </row>
    <row r="3850" spans="1:9" x14ac:dyDescent="0.3">
      <c r="A3850" s="2">
        <v>3849</v>
      </c>
      <c r="B3850" s="4" t="s">
        <v>54</v>
      </c>
      <c r="C3850" s="3" t="str">
        <f>"TFC000003670"</f>
        <v>TFC000003670</v>
      </c>
      <c r="D3850" s="3" t="str">
        <f>"F800-21-0879-(AR 5.3)"</f>
        <v>F800-21-0879-(AR 5.3)</v>
      </c>
      <c r="E3850" s="3" t="str">
        <f>"Escaping peril. 8"</f>
        <v>Escaping peril. 8</v>
      </c>
      <c r="F3850" s="3" t="str">
        <f>"by Tui T. Sutherland"</f>
        <v>by Tui T. Sutherland</v>
      </c>
      <c r="G3850" s="3" t="str">
        <f>"Scholastic"</f>
        <v>Scholastic</v>
      </c>
      <c r="H3850" s="2" t="str">
        <f>"2016"</f>
        <v>2016</v>
      </c>
      <c r="I3850" s="3" t="str">
        <f>""</f>
        <v/>
      </c>
    </row>
    <row r="3851" spans="1:9" x14ac:dyDescent="0.3">
      <c r="A3851" s="2">
        <v>3850</v>
      </c>
      <c r="B3851" s="4" t="s">
        <v>54</v>
      </c>
      <c r="C3851" s="3" t="str">
        <f>"TFC000003831"</f>
        <v>TFC000003831</v>
      </c>
      <c r="D3851" s="3" t="str">
        <f>"F800-21-0881-(AR 5.3)"</f>
        <v>F800-21-0881-(AR 5.3)</v>
      </c>
      <c r="E3851" s="3" t="str">
        <f>"Percy Jackson's Greek Heroes"</f>
        <v>Percy Jackson's Greek Heroes</v>
      </c>
      <c r="F3851" s="3" t="str">
        <f>"by Rick Riordan, with a full-color insert of artwork by John Rocco"</f>
        <v>by Rick Riordan, with a full-color insert of artwork by John Rocco</v>
      </c>
      <c r="G3851" s="3" t="str">
        <f>"Disney·Hyperion"</f>
        <v>Disney·Hyperion</v>
      </c>
      <c r="H3851" s="2" t="str">
        <f>"2017"</f>
        <v>2017</v>
      </c>
      <c r="I3851" s="3" t="str">
        <f>""</f>
        <v/>
      </c>
    </row>
    <row r="3852" spans="1:9" x14ac:dyDescent="0.3">
      <c r="A3852" s="2">
        <v>3851</v>
      </c>
      <c r="B3852" s="4" t="s">
        <v>54</v>
      </c>
      <c r="C3852" s="3" t="str">
        <f>"TFC000003929"</f>
        <v>TFC000003929</v>
      </c>
      <c r="D3852" s="3" t="str">
        <f>"F800-21-1002-(AR 5.3)"</f>
        <v>F800-21-1002-(AR 5.3)</v>
      </c>
      <c r="E3852" s="3" t="str">
        <f>"(The)Cursed carnival and other calamities : new stories about mythic heroes"</f>
        <v>(The)Cursed carnival and other calamities : new stories about mythic heroes</v>
      </c>
      <c r="F3852" s="3" t="str">
        <f>"edited by Rick Riordan"</f>
        <v>edited by Rick Riordan</v>
      </c>
      <c r="G3852" s="3" t="str">
        <f>"Rick Riordan Presents"</f>
        <v>Rick Riordan Presents</v>
      </c>
      <c r="H3852" s="2" t="str">
        <f>"2021"</f>
        <v>2021</v>
      </c>
      <c r="I3852" s="3" t="str">
        <f>""</f>
        <v/>
      </c>
    </row>
    <row r="3853" spans="1:9" x14ac:dyDescent="0.3">
      <c r="A3853" s="2">
        <v>3852</v>
      </c>
      <c r="B3853" s="4" t="s">
        <v>54</v>
      </c>
      <c r="C3853" s="3" t="str">
        <f>"TFC000004247"</f>
        <v>TFC000004247</v>
      </c>
      <c r="D3853" s="3" t="str">
        <f>"F800-22-0074-(AR 5.3)=2"</f>
        <v>F800-22-0074-(AR 5.3)=2</v>
      </c>
      <c r="E3853" s="3" t="str">
        <f>"(The)Land of stories. Book 2, (The)enchantress returns"</f>
        <v>(The)Land of stories. Book 2, (The)enchantress returns</v>
      </c>
      <c r="F3853" s="3" t="str">
        <f>"by Chris Colfer, illustrated by Brandon Dorman"</f>
        <v>by Chris Colfer, illustrated by Brandon Dorman</v>
      </c>
      <c r="G3853" s="3" t="str">
        <f>"Little, Brown and Company"</f>
        <v>Little, Brown and Company</v>
      </c>
      <c r="H3853" s="2" t="str">
        <f>"2013"</f>
        <v>2013</v>
      </c>
      <c r="I3853" s="3" t="str">
        <f>""</f>
        <v/>
      </c>
    </row>
    <row r="3854" spans="1:9" x14ac:dyDescent="0.3">
      <c r="A3854" s="2">
        <v>3853</v>
      </c>
      <c r="B3854" s="4" t="s">
        <v>54</v>
      </c>
      <c r="C3854" s="3" t="str">
        <f>"TFC000004249"</f>
        <v>TFC000004249</v>
      </c>
      <c r="D3854" s="3" t="str">
        <f>"F800-22-0073-(AR 5.3)"</f>
        <v>F800-22-0073-(AR 5.3)</v>
      </c>
      <c r="E3854" s="3" t="str">
        <f>"(The)Land of stories. Book 4, Beyond the kingdoms"</f>
        <v>(The)Land of stories. Book 4, Beyond the kingdoms</v>
      </c>
      <c r="F3854" s="3" t="str">
        <f>"by Chris Colfer, illustrated by Brandon Dorman"</f>
        <v>by Chris Colfer, illustrated by Brandon Dorman</v>
      </c>
      <c r="G3854" s="3" t="str">
        <f>"Little, Brown and Company"</f>
        <v>Little, Brown and Company</v>
      </c>
      <c r="H3854" s="2" t="str">
        <f>"2015"</f>
        <v>2015</v>
      </c>
      <c r="I3854" s="3" t="str">
        <f>""</f>
        <v/>
      </c>
    </row>
    <row r="3855" spans="1:9" x14ac:dyDescent="0.3">
      <c r="A3855" s="2">
        <v>3854</v>
      </c>
      <c r="B3855" s="4" t="s">
        <v>54</v>
      </c>
      <c r="C3855" s="3" t="str">
        <f>"TFC000004871"</f>
        <v>TFC000004871</v>
      </c>
      <c r="D3855" s="3" t="str">
        <f>"F800-22-0601-(AR 5.3)"</f>
        <v>F800-22-0601-(AR 5.3)</v>
      </c>
      <c r="E3855" s="3" t="str">
        <f>"Nothing More to Tell"</f>
        <v>Nothing More to Tell</v>
      </c>
      <c r="F3855" s="3" t="str">
        <f>"by Karen M. McManus"</f>
        <v>by Karen M. McManus</v>
      </c>
      <c r="G3855" s="3" t="str">
        <f>"Delacorte Press"</f>
        <v>Delacorte Press</v>
      </c>
      <c r="H3855" s="2" t="str">
        <f>"2022"</f>
        <v>2022</v>
      </c>
      <c r="I3855" s="3" t="str">
        <f>""</f>
        <v/>
      </c>
    </row>
    <row r="3856" spans="1:9" x14ac:dyDescent="0.3">
      <c r="A3856" s="2">
        <v>3855</v>
      </c>
      <c r="B3856" s="4" t="s">
        <v>54</v>
      </c>
      <c r="C3856" s="3" t="str">
        <f>"TFC000004879"</f>
        <v>TFC000004879</v>
      </c>
      <c r="D3856" s="3" t="str">
        <f>"F800-22-0609-(AR 5.3)"</f>
        <v>F800-22-0609-(AR 5.3)</v>
      </c>
      <c r="E3856" s="3" t="str">
        <f>"(The)Cousins"</f>
        <v>(The)Cousins</v>
      </c>
      <c r="F3856" s="3" t="str">
        <f>"by Karen M. McManus"</f>
        <v>by Karen M. McManus</v>
      </c>
      <c r="G3856" s="3" t="str">
        <f>"Delacorte Press"</f>
        <v>Delacorte Press</v>
      </c>
      <c r="H3856" s="2" t="str">
        <f>"2020"</f>
        <v>2020</v>
      </c>
      <c r="I3856" s="3" t="str">
        <f>""</f>
        <v/>
      </c>
    </row>
    <row r="3857" spans="1:9" x14ac:dyDescent="0.3">
      <c r="A3857" s="2">
        <v>3856</v>
      </c>
      <c r="B3857" s="4" t="s">
        <v>54</v>
      </c>
      <c r="C3857" s="3" t="str">
        <f>"TFC000004577"</f>
        <v>TFC000004577</v>
      </c>
      <c r="D3857" s="3" t="str">
        <f>"F800-22-0386-(AR5.3)"</f>
        <v>F800-22-0386-(AR5.3)</v>
      </c>
      <c r="E3857" s="3" t="str">
        <f>"Bound for Home"</f>
        <v>Bound for Home</v>
      </c>
      <c r="F3857" s="3" t="str">
        <f>"by Meika Hashimoto"</f>
        <v>by Meika Hashimoto</v>
      </c>
      <c r="G3857" s="3" t="str">
        <f>"Scholastic Press"</f>
        <v>Scholastic Press</v>
      </c>
      <c r="H3857" s="2" t="str">
        <f>"2022"</f>
        <v>2022</v>
      </c>
      <c r="I3857" s="3" t="str">
        <f>""</f>
        <v/>
      </c>
    </row>
    <row r="3858" spans="1:9" x14ac:dyDescent="0.3">
      <c r="A3858" s="2">
        <v>3857</v>
      </c>
      <c r="B3858" s="4" t="s">
        <v>54</v>
      </c>
      <c r="C3858" s="3" t="str">
        <f>"TFC000004578"</f>
        <v>TFC000004578</v>
      </c>
      <c r="D3858" s="3" t="str">
        <f>"F800-22-0387-(AR5.3)"</f>
        <v>F800-22-0387-(AR5.3)</v>
      </c>
      <c r="E3858" s="3" t="str">
        <f>"(The)Hacker's Key"</f>
        <v>(The)Hacker's Key</v>
      </c>
      <c r="F3858" s="3" t="str">
        <f>"by Jon Skovron"</f>
        <v>by Jon Skovron</v>
      </c>
      <c r="G3858" s="3" t="str">
        <f>"Scholastic Inc."</f>
        <v>Scholastic Inc.</v>
      </c>
      <c r="H3858" s="2" t="str">
        <f>"2020"</f>
        <v>2020</v>
      </c>
      <c r="I3858" s="3" t="str">
        <f>""</f>
        <v/>
      </c>
    </row>
    <row r="3859" spans="1:9" x14ac:dyDescent="0.3">
      <c r="A3859" s="2">
        <v>3858</v>
      </c>
      <c r="B3859" s="4" t="s">
        <v>54</v>
      </c>
      <c r="C3859" s="3" t="str">
        <f>"TFC000004579"</f>
        <v>TFC000004579</v>
      </c>
      <c r="D3859" s="3" t="str">
        <f>"F800-22-0388-(AR5.3)"</f>
        <v>F800-22-0388-(AR5.3)</v>
      </c>
      <c r="E3859" s="3" t="str">
        <f>"Swimming with Sharks"</f>
        <v>Swimming with Sharks</v>
      </c>
      <c r="F3859" s="3" t="str">
        <f>"by Melissa Christana Marquez"</f>
        <v>by Melissa Christana Marquez</v>
      </c>
      <c r="G3859" s="3" t="str">
        <f>"Scholastic Inc"</f>
        <v>Scholastic Inc</v>
      </c>
      <c r="H3859" s="2" t="str">
        <f>"2021"</f>
        <v>2021</v>
      </c>
      <c r="I3859" s="3" t="str">
        <f>""</f>
        <v/>
      </c>
    </row>
    <row r="3860" spans="1:9" x14ac:dyDescent="0.3">
      <c r="A3860" s="2">
        <v>3859</v>
      </c>
      <c r="B3860" s="4" t="s">
        <v>54</v>
      </c>
      <c r="C3860" s="3" t="str">
        <f>"TFC000004624"</f>
        <v>TFC000004624</v>
      </c>
      <c r="D3860" s="3" t="str">
        <f>"F800-22-0433-(AR5.3)"</f>
        <v>F800-22-0433-(AR5.3)</v>
      </c>
      <c r="E3860" s="3" t="str">
        <f>"Like Never and Always"</f>
        <v>Like Never and Always</v>
      </c>
      <c r="F3860" s="3" t="str">
        <f>"by Ann Aguirre"</f>
        <v>by Ann Aguirre</v>
      </c>
      <c r="G3860" s="3" t="str">
        <f>"Tor Teen"</f>
        <v>Tor Teen</v>
      </c>
      <c r="H3860" s="2" t="str">
        <f>"2019"</f>
        <v>2019</v>
      </c>
      <c r="I3860" s="3" t="str">
        <f>""</f>
        <v/>
      </c>
    </row>
    <row r="3861" spans="1:9" x14ac:dyDescent="0.3">
      <c r="A3861" s="2">
        <v>3860</v>
      </c>
      <c r="B3861" s="4" t="s">
        <v>54</v>
      </c>
      <c r="C3861" s="3" t="str">
        <f>"TFC000004625"</f>
        <v>TFC000004625</v>
      </c>
      <c r="D3861" s="3" t="str">
        <f>"F800-22-0434-(AR5.3)"</f>
        <v>F800-22-0434-(AR5.3)</v>
      </c>
      <c r="E3861" s="3" t="str">
        <f>"Pumpkin"</f>
        <v>Pumpkin</v>
      </c>
      <c r="F3861" s="3" t="str">
        <f>"by Julie Murphy"</f>
        <v>by Julie Murphy</v>
      </c>
      <c r="G3861" s="3" t="str">
        <f>"Thorndike Striving Reader"</f>
        <v>Thorndike Striving Reader</v>
      </c>
      <c r="H3861" s="2" t="str">
        <f>"2021"</f>
        <v>2021</v>
      </c>
      <c r="I3861" s="3" t="str">
        <f>""</f>
        <v/>
      </c>
    </row>
    <row r="3862" spans="1:9" x14ac:dyDescent="0.3">
      <c r="A3862" s="2">
        <v>3861</v>
      </c>
      <c r="B3862" s="4" t="s">
        <v>55</v>
      </c>
      <c r="C3862" s="3" t="str">
        <f>"TFC000003804"</f>
        <v>TFC000003804</v>
      </c>
      <c r="D3862" s="3" t="str">
        <f>"F800-21-0887-(AR 5.4)=2"</f>
        <v>F800-21-0887-(AR 5.4)=2</v>
      </c>
      <c r="E3862" s="3" t="str">
        <f>"(The)Janitor's boy"</f>
        <v>(The)Janitor's boy</v>
      </c>
      <c r="F3862" s="3" t="str">
        <f>"Andrew Clements"</f>
        <v>Andrew Clements</v>
      </c>
      <c r="G3862" s="3" t="str">
        <f>"Atheneum Books for Young Readers"</f>
        <v>Atheneum Books for Young Readers</v>
      </c>
      <c r="H3862" s="2" t="str">
        <f>"2001"</f>
        <v>2001</v>
      </c>
      <c r="I3862" s="3" t="str">
        <f>""</f>
        <v/>
      </c>
    </row>
    <row r="3863" spans="1:9" x14ac:dyDescent="0.3">
      <c r="A3863" s="2">
        <v>3862</v>
      </c>
      <c r="B3863" s="4" t="s">
        <v>55</v>
      </c>
      <c r="C3863" s="3" t="str">
        <f>"TFC000002548"</f>
        <v>TFC000002548</v>
      </c>
      <c r="D3863" s="3" t="str">
        <f>"F000-20-2865-(AR 5.4)"</f>
        <v>F000-20-2865-(AR 5.4)</v>
      </c>
      <c r="E3863" s="3" t="str">
        <f>"Bigfoot goes on great adventures"</f>
        <v>Bigfoot goes on great adventures</v>
      </c>
      <c r="F3863" s="3" t="str">
        <f>"D. L. Miller"</f>
        <v>D. L. Miller</v>
      </c>
      <c r="G3863" s="3" t="str">
        <f>"Happy Fox Books"</f>
        <v>Happy Fox Books</v>
      </c>
      <c r="H3863" s="2" t="str">
        <f>"2019"</f>
        <v>2019</v>
      </c>
      <c r="I3863" s="3" t="str">
        <f>""</f>
        <v/>
      </c>
    </row>
    <row r="3864" spans="1:9" x14ac:dyDescent="0.3">
      <c r="A3864" s="2">
        <v>3863</v>
      </c>
      <c r="B3864" s="4" t="s">
        <v>55</v>
      </c>
      <c r="C3864" s="3" t="str">
        <f>"TFC000002549"</f>
        <v>TFC000002549</v>
      </c>
      <c r="D3864" s="3" t="str">
        <f>"F400-20-2866-(AR 5.4)"</f>
        <v>F400-20-2866-(AR 5.4)</v>
      </c>
      <c r="E3864" s="3" t="str">
        <f>"Butterflies and Moths"</f>
        <v>Butterflies and Moths</v>
      </c>
      <c r="F3864" s="3" t="str">
        <f>"Nic Bishop"</f>
        <v>Nic Bishop</v>
      </c>
      <c r="G3864" s="3" t="str">
        <f>"Scholastic"</f>
        <v>Scholastic</v>
      </c>
      <c r="H3864" s="2" t="str">
        <f>"2009"</f>
        <v>2009</v>
      </c>
      <c r="I3864" s="3" t="str">
        <f>""</f>
        <v/>
      </c>
    </row>
    <row r="3865" spans="1:9" x14ac:dyDescent="0.3">
      <c r="A3865" s="2">
        <v>3864</v>
      </c>
      <c r="B3865" s="4" t="s">
        <v>55</v>
      </c>
      <c r="C3865" s="3" t="str">
        <f>"TFC000002550"</f>
        <v>TFC000002550</v>
      </c>
      <c r="D3865" s="3" t="str">
        <f>"F400-20-2867-(AR 5.4)"</f>
        <v>F400-20-2867-(AR 5.4)</v>
      </c>
      <c r="E3865" s="3" t="str">
        <f>"Face to face with sharks"</f>
        <v>Face to face with sharks</v>
      </c>
      <c r="F3865" s="3" t="str">
        <f>"by David Doubilet, Jennifer Hayes"</f>
        <v>by David Doubilet, Jennifer Hayes</v>
      </c>
      <c r="G3865" s="3" t="str">
        <f>"National Geographic"</f>
        <v>National Geographic</v>
      </c>
      <c r="H3865" s="2" t="str">
        <f>"2009"</f>
        <v>2009</v>
      </c>
      <c r="I3865" s="3" t="str">
        <f>""</f>
        <v/>
      </c>
    </row>
    <row r="3866" spans="1:9" x14ac:dyDescent="0.3">
      <c r="A3866" s="2">
        <v>3865</v>
      </c>
      <c r="B3866" s="4" t="s">
        <v>55</v>
      </c>
      <c r="C3866" s="3" t="str">
        <f>"TFC000002551"</f>
        <v>TFC000002551</v>
      </c>
      <c r="D3866" s="3" t="str">
        <f>"F500-20-2868-(AR 5.4)"</f>
        <v>F500-20-2868-(AR 5.4)</v>
      </c>
      <c r="E3866" s="3" t="str">
        <f>"(The)life and times of the peanut"</f>
        <v>(The)life and times of the peanut</v>
      </c>
      <c r="F3866" s="3" t="str">
        <f>"Charles Micucci"</f>
        <v>Charles Micucci</v>
      </c>
      <c r="G3866" s="3" t="str">
        <f>"Houghton Mifflin Company"</f>
        <v>Houghton Mifflin Company</v>
      </c>
      <c r="H3866" s="2" t="str">
        <f>"1997"</f>
        <v>1997</v>
      </c>
      <c r="I3866" s="3" t="str">
        <f>""</f>
        <v/>
      </c>
    </row>
    <row r="3867" spans="1:9" x14ac:dyDescent="0.3">
      <c r="A3867" s="2">
        <v>3866</v>
      </c>
      <c r="B3867" s="4" t="s">
        <v>55</v>
      </c>
      <c r="C3867" s="3" t="str">
        <f>"TFC000002552"</f>
        <v>TFC000002552</v>
      </c>
      <c r="D3867" s="3" t="str">
        <f>"F600-20-2870-(AR 5.4)"</f>
        <v>F600-20-2870-(AR 5.4)</v>
      </c>
      <c r="E3867" s="3" t="str">
        <f>"What are the Summer Olympics?"</f>
        <v>What are the Summer Olympics?</v>
      </c>
      <c r="F3867" s="3" t="str">
        <f>"by Gail Herman ; illustrated by Stephen Marchesi"</f>
        <v>by Gail Herman ; illustrated by Stephen Marchesi</v>
      </c>
      <c r="G3867" s="3" t="str">
        <f>"Grosset &amp; Dunlap"</f>
        <v>Grosset &amp; Dunlap</v>
      </c>
      <c r="H3867" s="2" t="str">
        <f>"2016"</f>
        <v>2016</v>
      </c>
      <c r="I3867" s="3" t="str">
        <f>""</f>
        <v/>
      </c>
    </row>
    <row r="3868" spans="1:9" x14ac:dyDescent="0.3">
      <c r="A3868" s="2">
        <v>3867</v>
      </c>
      <c r="B3868" s="4" t="s">
        <v>55</v>
      </c>
      <c r="C3868" s="3" t="str">
        <f>"TFC000002554"</f>
        <v>TFC000002554</v>
      </c>
      <c r="D3868" s="3" t="str">
        <f>"F800-20-2872-(AR 5.4)"</f>
        <v>F800-20-2872-(AR 5.4)</v>
      </c>
      <c r="E3868" s="3" t="str">
        <f>"One-eyed cat"</f>
        <v>One-eyed cat</v>
      </c>
      <c r="F3868" s="3" t="str">
        <f>"a novel by Paula Fox"</f>
        <v>a novel by Paula Fox</v>
      </c>
      <c r="G3868" s="3" t="str">
        <f>"Aladdin Paperbacks"</f>
        <v>Aladdin Paperbacks</v>
      </c>
      <c r="H3868" s="2" t="str">
        <f>"2000"</f>
        <v>2000</v>
      </c>
      <c r="I3868" s="3" t="str">
        <f>""</f>
        <v/>
      </c>
    </row>
    <row r="3869" spans="1:9" x14ac:dyDescent="0.3">
      <c r="A3869" s="2">
        <v>3868</v>
      </c>
      <c r="B3869" s="4" t="s">
        <v>55</v>
      </c>
      <c r="C3869" s="3" t="str">
        <f>"TFC000002556"</f>
        <v>TFC000002556</v>
      </c>
      <c r="D3869" s="3" t="str">
        <f>"F800-20-2874-(AR 5.4)"</f>
        <v>F800-20-2874-(AR 5.4)</v>
      </c>
      <c r="E3869" s="3" t="str">
        <f>"(The)magician's nephew"</f>
        <v>(The)magician's nephew</v>
      </c>
      <c r="F3869" s="3" t="str">
        <f>"by C.S. Lewis ; illustrated by Pauline Baynes"</f>
        <v>by C.S. Lewis ; illustrated by Pauline Baynes</v>
      </c>
      <c r="G3869" s="3" t="str">
        <f>"HorperTrophy"</f>
        <v>HorperTrophy</v>
      </c>
      <c r="H3869" s="2" t="str">
        <f>"1994"</f>
        <v>1994</v>
      </c>
      <c r="I3869" s="3" t="str">
        <f>""</f>
        <v/>
      </c>
    </row>
    <row r="3870" spans="1:9" x14ac:dyDescent="0.3">
      <c r="A3870" s="2">
        <v>3869</v>
      </c>
      <c r="B3870" s="4" t="s">
        <v>55</v>
      </c>
      <c r="C3870" s="3" t="str">
        <f>"TFC000002558"</f>
        <v>TFC000002558</v>
      </c>
      <c r="D3870" s="3" t="str">
        <f>"F800-20-2876-(AR 5.4)"</f>
        <v>F800-20-2876-(AR 5.4)</v>
      </c>
      <c r="E3870" s="3" t="str">
        <f>"Chasing vermeer"</f>
        <v>Chasing vermeer</v>
      </c>
      <c r="F3870" s="3" t="str">
        <f>"by Blue Balliett ; illustrated by Brett Helquist"</f>
        <v>by Blue Balliett ; illustrated by Brett Helquist</v>
      </c>
      <c r="G3870" s="3" t="str">
        <f>"Scholastic Press"</f>
        <v>Scholastic Press</v>
      </c>
      <c r="H3870" s="2" t="str">
        <f>"2018"</f>
        <v>2018</v>
      </c>
      <c r="I3870" s="3" t="str">
        <f>""</f>
        <v/>
      </c>
    </row>
    <row r="3871" spans="1:9" x14ac:dyDescent="0.3">
      <c r="A3871" s="2">
        <v>3870</v>
      </c>
      <c r="B3871" s="4" t="s">
        <v>55</v>
      </c>
      <c r="C3871" s="3" t="str">
        <f>"TFC000002559"</f>
        <v>TFC000002559</v>
      </c>
      <c r="D3871" s="3" t="str">
        <f>"F800-20-2877-(AR 5.4)"</f>
        <v>F800-20-2877-(AR 5.4)</v>
      </c>
      <c r="E3871" s="3" t="str">
        <f>"Doll bones"</f>
        <v>Doll bones</v>
      </c>
      <c r="F3871" s="3" t="str">
        <f>"Holly Black ; with illustrations by Eliza Wheeler"</f>
        <v>Holly Black ; with illustrations by Eliza Wheeler</v>
      </c>
      <c r="G3871" s="3" t="str">
        <f>"Margaret K. McElderry Books"</f>
        <v>Margaret K. McElderry Books</v>
      </c>
      <c r="H3871" s="2" t="str">
        <f>"2013"</f>
        <v>2013</v>
      </c>
      <c r="I3871" s="3" t="str">
        <f>""</f>
        <v/>
      </c>
    </row>
    <row r="3872" spans="1:9" x14ac:dyDescent="0.3">
      <c r="A3872" s="2">
        <v>3871</v>
      </c>
      <c r="B3872" s="4" t="s">
        <v>55</v>
      </c>
      <c r="C3872" s="3" t="str">
        <f>"TFC000002560"</f>
        <v>TFC000002560</v>
      </c>
      <c r="D3872" s="3" t="str">
        <f>"F800-20-2878-(AR 5.4)"</f>
        <v>F800-20-2878-(AR 5.4)</v>
      </c>
      <c r="E3872" s="3" t="str">
        <f>"Aru Shah and the Tree of Wishes"</f>
        <v>Aru Shah and the Tree of Wishes</v>
      </c>
      <c r="F3872" s="3" t="str">
        <f>"Roshani Chokshi"</f>
        <v>Roshani Chokshi</v>
      </c>
      <c r="G3872" s="3" t="str">
        <f>"Disney·Hyperion"</f>
        <v>Disney·Hyperion</v>
      </c>
      <c r="H3872" s="2" t="str">
        <f>"2020"</f>
        <v>2020</v>
      </c>
      <c r="I3872" s="3" t="str">
        <f>""</f>
        <v/>
      </c>
    </row>
    <row r="3873" spans="1:9" x14ac:dyDescent="0.3">
      <c r="A3873" s="2">
        <v>3872</v>
      </c>
      <c r="B3873" s="4" t="s">
        <v>55</v>
      </c>
      <c r="C3873" s="3" t="str">
        <f>"TFC000002561"</f>
        <v>TFC000002561</v>
      </c>
      <c r="D3873" s="3" t="str">
        <f>"F800-20-2879-(AR 5.4)"</f>
        <v>F800-20-2879-(AR 5.4)</v>
      </c>
      <c r="E3873" s="3" t="str">
        <f>"Frindle"</f>
        <v>Frindle</v>
      </c>
      <c r="F3873" s="3" t="str">
        <f>"Andrew Clements ; illustrations by Brian Selznick"</f>
        <v>Andrew Clements ; illustrations by Brian Selznick</v>
      </c>
      <c r="G3873" s="3" t="str">
        <f>"Atheneum Books for Young Readers"</f>
        <v>Atheneum Books for Young Readers</v>
      </c>
      <c r="H3873" s="2" t="str">
        <f>"1998"</f>
        <v>1998</v>
      </c>
      <c r="I3873" s="3" t="str">
        <f>""</f>
        <v/>
      </c>
    </row>
    <row r="3874" spans="1:9" x14ac:dyDescent="0.3">
      <c r="A3874" s="2">
        <v>3873</v>
      </c>
      <c r="B3874" s="4" t="s">
        <v>55</v>
      </c>
      <c r="C3874" s="3" t="str">
        <f>"TFC000002562"</f>
        <v>TFC000002562</v>
      </c>
      <c r="D3874" s="3" t="str">
        <f>"F800-20-2880-(AR 5.4)"</f>
        <v>F800-20-2880-(AR 5.4)</v>
      </c>
      <c r="E3874" s="3" t="str">
        <f>"(The)janitor's boy"</f>
        <v>(The)janitor's boy</v>
      </c>
      <c r="F3874" s="3" t="str">
        <f>"Andrew Clements"</f>
        <v>Andrew Clements</v>
      </c>
      <c r="G3874" s="3" t="str">
        <f>"Atheneum Books for Young Readers"</f>
        <v>Atheneum Books for Young Readers</v>
      </c>
      <c r="H3874" s="2" t="str">
        <f>"2001"</f>
        <v>2001</v>
      </c>
      <c r="I3874" s="3" t="str">
        <f>""</f>
        <v/>
      </c>
    </row>
    <row r="3875" spans="1:9" x14ac:dyDescent="0.3">
      <c r="A3875" s="2">
        <v>3874</v>
      </c>
      <c r="B3875" s="4" t="s">
        <v>55</v>
      </c>
      <c r="C3875" s="3" t="str">
        <f>"TFC000002563"</f>
        <v>TFC000002563</v>
      </c>
      <c r="D3875" s="3" t="str">
        <f>"F800-20-2881-(AR 5.4)"</f>
        <v>F800-20-2881-(AR 5.4)</v>
      </c>
      <c r="E3875" s="3" t="str">
        <f>"Elijah of Buxton"</f>
        <v>Elijah of Buxton</v>
      </c>
      <c r="F3875" s="3" t="str">
        <f>"Christopher Paul Curtis"</f>
        <v>Christopher Paul Curtis</v>
      </c>
      <c r="G3875" s="3" t="str">
        <f>"Scholastic"</f>
        <v>Scholastic</v>
      </c>
      <c r="H3875" s="2" t="str">
        <f>"2018"</f>
        <v>2018</v>
      </c>
      <c r="I3875" s="3" t="str">
        <f>""</f>
        <v/>
      </c>
    </row>
    <row r="3876" spans="1:9" x14ac:dyDescent="0.3">
      <c r="A3876" s="2">
        <v>3875</v>
      </c>
      <c r="B3876" s="4" t="s">
        <v>55</v>
      </c>
      <c r="C3876" s="3" t="str">
        <f>"TFC000002564"</f>
        <v>TFC000002564</v>
      </c>
      <c r="D3876" s="3" t="str">
        <f>"F800-20-2882-(AR 5.4)"</f>
        <v>F800-20-2882-(AR 5.4)</v>
      </c>
      <c r="E3876" s="3" t="str">
        <f>"Howl's moving castle"</f>
        <v>Howl's moving castle</v>
      </c>
      <c r="F3876" s="3" t="str">
        <f>"Diana Wynne Jones"</f>
        <v>Diana Wynne Jones</v>
      </c>
      <c r="G3876" s="3" t="str">
        <f>"Greenwillow Book"</f>
        <v>Greenwillow Book</v>
      </c>
      <c r="H3876" s="2" t="str">
        <f>"2008"</f>
        <v>2008</v>
      </c>
      <c r="I3876" s="3" t="str">
        <f>""</f>
        <v/>
      </c>
    </row>
    <row r="3877" spans="1:9" x14ac:dyDescent="0.3">
      <c r="A3877" s="2">
        <v>3876</v>
      </c>
      <c r="B3877" s="4" t="s">
        <v>55</v>
      </c>
      <c r="C3877" s="3" t="str">
        <f>"TFC000002565"</f>
        <v>TFC000002565</v>
      </c>
      <c r="D3877" s="3" t="str">
        <f>"F800-20-2883-(AR 5.4)"</f>
        <v>F800-20-2883-(AR 5.4)</v>
      </c>
      <c r="E3877" s="3" t="str">
        <f>"Diary of a Wimpy Kid. 12, the getawayy"</f>
        <v>Diary of a Wimpy Kid. 12, the getawayy</v>
      </c>
      <c r="F3877" s="3" t="str">
        <f>"Jeff Kinney"</f>
        <v>Jeff Kinney</v>
      </c>
      <c r="G3877" s="3" t="str">
        <f>"Amuet Books"</f>
        <v>Amuet Books</v>
      </c>
      <c r="H3877" s="2" t="str">
        <f>"2017"</f>
        <v>2017</v>
      </c>
      <c r="I3877" s="3" t="str">
        <f>""</f>
        <v/>
      </c>
    </row>
    <row r="3878" spans="1:9" x14ac:dyDescent="0.3">
      <c r="A3878" s="2">
        <v>3877</v>
      </c>
      <c r="B3878" s="4" t="s">
        <v>55</v>
      </c>
      <c r="C3878" s="3" t="str">
        <f>"TFC000002566"</f>
        <v>TFC000002566</v>
      </c>
      <c r="D3878" s="3" t="str">
        <f>"F800-20-2884-(AR 5.4)"</f>
        <v>F800-20-2884-(AR 5.4)</v>
      </c>
      <c r="E3878" s="3" t="str">
        <f>"Starry river of the sky"</f>
        <v>Starry river of the sky</v>
      </c>
      <c r="F3878" s="3" t="str">
        <f>"Grace Lin"</f>
        <v>Grace Lin</v>
      </c>
      <c r="G3878" s="3" t="str">
        <f>"Little, Brown Books for Young Readers"</f>
        <v>Little, Brown Books for Young Readers</v>
      </c>
      <c r="H3878" s="2" t="str">
        <f>"2014"</f>
        <v>2014</v>
      </c>
      <c r="I3878" s="3" t="str">
        <f>""</f>
        <v/>
      </c>
    </row>
    <row r="3879" spans="1:9" x14ac:dyDescent="0.3">
      <c r="A3879" s="2">
        <v>3878</v>
      </c>
      <c r="B3879" s="4" t="s">
        <v>55</v>
      </c>
      <c r="C3879" s="3" t="str">
        <f>"TFC000002567"</f>
        <v>TFC000002567</v>
      </c>
      <c r="D3879" s="3" t="str">
        <f>"F800-20-2885-(AR 5.4)"</f>
        <v>F800-20-2885-(AR 5.4)</v>
      </c>
      <c r="E3879" s="3" t="str">
        <f>"Dork diaries. 1, tales from a not-so-fabulous life"</f>
        <v>Dork diaries. 1, tales from a not-so-fabulous life</v>
      </c>
      <c r="F3879" s="3" t="str">
        <f>"Rachel Renee Russell, Nikki Russell, Erin Russell"</f>
        <v>Rachel Renee Russell, Nikki Russell, Erin Russell</v>
      </c>
      <c r="G3879" s="3" t="str">
        <f>"Aladdin"</f>
        <v>Aladdin</v>
      </c>
      <c r="H3879" s="2" t="str">
        <f>"2009"</f>
        <v>2009</v>
      </c>
      <c r="I3879" s="3" t="str">
        <f>""</f>
        <v/>
      </c>
    </row>
    <row r="3880" spans="1:9" x14ac:dyDescent="0.3">
      <c r="A3880" s="2">
        <v>3879</v>
      </c>
      <c r="B3880" s="4" t="s">
        <v>55</v>
      </c>
      <c r="C3880" s="3" t="str">
        <f>"TFC000002568"</f>
        <v>TFC000002568</v>
      </c>
      <c r="D3880" s="3" t="str">
        <f>"F900-20-2889-(AR 5.4)"</f>
        <v>F900-20-2889-(AR 5.4)</v>
      </c>
      <c r="E3880" s="3" t="str">
        <f>"What was Pearl Harbor?"</f>
        <v>What was Pearl Harbor?</v>
      </c>
      <c r="F3880" s="3" t="str">
        <f>"by Patricia Brennan Demuth ; illustrated by John Mantha"</f>
        <v>by Patricia Brennan Demuth ; illustrated by John Mantha</v>
      </c>
      <c r="G3880" s="3" t="str">
        <f>"Penguin Workshop"</f>
        <v>Penguin Workshop</v>
      </c>
      <c r="H3880" s="2" t="str">
        <f>"2013"</f>
        <v>2013</v>
      </c>
      <c r="I3880" s="3" t="str">
        <f>""</f>
        <v/>
      </c>
    </row>
    <row r="3881" spans="1:9" x14ac:dyDescent="0.3">
      <c r="A3881" s="2">
        <v>3880</v>
      </c>
      <c r="B3881" s="4" t="s">
        <v>55</v>
      </c>
      <c r="C3881" s="3" t="str">
        <f>"TFC000002569"</f>
        <v>TFC000002569</v>
      </c>
      <c r="D3881" s="3" t="str">
        <f>"F900-20-2890-(AR 5.4)"</f>
        <v>F900-20-2890-(AR 5.4)</v>
      </c>
      <c r="E3881" s="3" t="str">
        <f>"What was the Hindenburg?"</f>
        <v>What was the Hindenburg?</v>
      </c>
      <c r="F3881" s="3" t="str">
        <f>"by Janet B. Pascal ; illustrated by David Groff"</f>
        <v>by Janet B. Pascal ; illustrated by David Groff</v>
      </c>
      <c r="G3881" s="3" t="str">
        <f>"Penguin Workshop"</f>
        <v>Penguin Workshop</v>
      </c>
      <c r="H3881" s="2" t="str">
        <f>"2014"</f>
        <v>2014</v>
      </c>
      <c r="I3881" s="3" t="str">
        <f>""</f>
        <v/>
      </c>
    </row>
    <row r="3882" spans="1:9" x14ac:dyDescent="0.3">
      <c r="A3882" s="2">
        <v>3881</v>
      </c>
      <c r="B3882" s="4" t="s">
        <v>55</v>
      </c>
      <c r="C3882" s="3" t="str">
        <f>"TFC000002570"</f>
        <v>TFC000002570</v>
      </c>
      <c r="D3882" s="3" t="str">
        <f>"F900-20-2891-(AR 5.4)"</f>
        <v>F900-20-2891-(AR 5.4)</v>
      </c>
      <c r="E3882" s="3" t="str">
        <f>"What was the Alamo?"</f>
        <v>What was the Alamo?</v>
      </c>
      <c r="F3882" s="3" t="str">
        <f>"by Pam Pollack, Meg Belviso ; illustrated by David Groff"</f>
        <v>by Pam Pollack, Meg Belviso ; illustrated by David Groff</v>
      </c>
      <c r="G3882" s="3" t="str">
        <f>"Penguin Workshop"</f>
        <v>Penguin Workshop</v>
      </c>
      <c r="H3882" s="2" t="str">
        <f>"2013"</f>
        <v>2013</v>
      </c>
      <c r="I3882" s="3" t="str">
        <f>""</f>
        <v/>
      </c>
    </row>
    <row r="3883" spans="1:9" x14ac:dyDescent="0.3">
      <c r="A3883" s="2">
        <v>3882</v>
      </c>
      <c r="B3883" s="4" t="s">
        <v>55</v>
      </c>
      <c r="C3883" s="3" t="str">
        <f>"TFC000002571"</f>
        <v>TFC000002571</v>
      </c>
      <c r="D3883" s="3" t="str">
        <f>"F900-20-2892-(AR 5.4)"</f>
        <v>F900-20-2892-(AR 5.4)</v>
      </c>
      <c r="E3883" s="3" t="str">
        <f>"Who is Hillary Clinton?"</f>
        <v>Who is Hillary Clinton?</v>
      </c>
      <c r="F3883" s="3" t="str">
        <f>"by Heather Alexander ; illustrated by Dede Putra"</f>
        <v>by Heather Alexander ; illustrated by Dede Putra</v>
      </c>
      <c r="G3883" s="3" t="str">
        <f>"Penguin Workshop"</f>
        <v>Penguin Workshop</v>
      </c>
      <c r="H3883" s="2" t="str">
        <f>"2019"</f>
        <v>2019</v>
      </c>
      <c r="I3883" s="3" t="str">
        <f>""</f>
        <v/>
      </c>
    </row>
    <row r="3884" spans="1:9" x14ac:dyDescent="0.3">
      <c r="A3884" s="2">
        <v>3883</v>
      </c>
      <c r="B3884" s="4" t="s">
        <v>55</v>
      </c>
      <c r="C3884" s="3" t="str">
        <f>"TFC000002572"</f>
        <v>TFC000002572</v>
      </c>
      <c r="D3884" s="3" t="str">
        <f>"F900-20-2893-(AR 5.4)"</f>
        <v>F900-20-2893-(AR 5.4)</v>
      </c>
      <c r="E3884" s="3" t="str">
        <f>"Who was Ronald Reagan?"</f>
        <v>Who was Ronald Reagan?</v>
      </c>
      <c r="F3884" s="3" t="str">
        <f>"by Joyce Milton ; illustrated by Elizabeth Wolf"</f>
        <v>by Joyce Milton ; illustrated by Elizabeth Wolf</v>
      </c>
      <c r="G3884" s="3" t="str">
        <f>"Grosset &amp; Dunlap"</f>
        <v>Grosset &amp; Dunlap</v>
      </c>
      <c r="H3884" s="2" t="str">
        <f>"2005"</f>
        <v>2005</v>
      </c>
      <c r="I3884" s="3" t="str">
        <f>""</f>
        <v/>
      </c>
    </row>
    <row r="3885" spans="1:9" x14ac:dyDescent="0.3">
      <c r="A3885" s="2">
        <v>3884</v>
      </c>
      <c r="B3885" s="4" t="s">
        <v>55</v>
      </c>
      <c r="C3885" s="3" t="str">
        <f>"TFC000002574"</f>
        <v>TFC000002574</v>
      </c>
      <c r="D3885" s="3" t="str">
        <f>"F900-20-2895-(AR 5.4)"</f>
        <v>F900-20-2895-(AR 5.4)</v>
      </c>
      <c r="E3885" s="3" t="str">
        <f>"Who was Andy Warhol?"</f>
        <v>Who was Andy Warhol?</v>
      </c>
      <c r="F3885" s="3" t="str">
        <f>"by Kirsten Anderson ; illustrated by Gregory Copeland"</f>
        <v>by Kirsten Anderson ; illustrated by Gregory Copeland</v>
      </c>
      <c r="G3885" s="3" t="str">
        <f>"Penguin Workshop"</f>
        <v>Penguin Workshop</v>
      </c>
      <c r="H3885" s="2" t="str">
        <f>"2014"</f>
        <v>2014</v>
      </c>
      <c r="I3885" s="3" t="str">
        <f>""</f>
        <v/>
      </c>
    </row>
    <row r="3886" spans="1:9" x14ac:dyDescent="0.3">
      <c r="A3886" s="2">
        <v>3885</v>
      </c>
      <c r="B3886" s="4" t="s">
        <v>55</v>
      </c>
      <c r="C3886" s="3" t="str">
        <f>"TFC000002576"</f>
        <v>TFC000002576</v>
      </c>
      <c r="D3886" s="3" t="str">
        <f>"F900-20-2897-(AR 5.4)"</f>
        <v>F900-20-2897-(AR 5.4)</v>
      </c>
      <c r="E3886" s="3" t="str">
        <f>"Who is Oprah Winfrey?"</f>
        <v>Who is Oprah Winfrey?</v>
      </c>
      <c r="F3886" s="3" t="str">
        <f>"by Barbara Kramer ; illustrated by Dede Putra"</f>
        <v>by Barbara Kramer ; illustrated by Dede Putra</v>
      </c>
      <c r="G3886" s="3" t="str">
        <f>"Penguin Workshop"</f>
        <v>Penguin Workshop</v>
      </c>
      <c r="H3886" s="2" t="str">
        <f>"2019"</f>
        <v>2019</v>
      </c>
      <c r="I3886" s="3" t="str">
        <f>""</f>
        <v/>
      </c>
    </row>
    <row r="3887" spans="1:9" x14ac:dyDescent="0.3">
      <c r="A3887" s="2">
        <v>3886</v>
      </c>
      <c r="B3887" s="4" t="s">
        <v>55</v>
      </c>
      <c r="C3887" s="3" t="str">
        <f>"TFC000002577"</f>
        <v>TFC000002577</v>
      </c>
      <c r="D3887" s="3" t="str">
        <f>"F900-20-2898-(AR 5.4)"</f>
        <v>F900-20-2898-(AR 5.4)</v>
      </c>
      <c r="E3887" s="3" t="str">
        <f>"Teammates"</f>
        <v>Teammates</v>
      </c>
      <c r="F3887" s="3" t="str">
        <f>"written by Peter Golenbock ; designed and illustrated by Paul Bacon"</f>
        <v>written by Peter Golenbock ; designed and illustrated by Paul Bacon</v>
      </c>
      <c r="G3887" s="3" t="str">
        <f>"Harcourt Brace Jovanovich"</f>
        <v>Harcourt Brace Jovanovich</v>
      </c>
      <c r="H3887" s="2" t="str">
        <f>"1990"</f>
        <v>1990</v>
      </c>
      <c r="I3887" s="3" t="str">
        <f>""</f>
        <v/>
      </c>
    </row>
    <row r="3888" spans="1:9" x14ac:dyDescent="0.3">
      <c r="A3888" s="2">
        <v>3887</v>
      </c>
      <c r="B3888" s="4" t="s">
        <v>55</v>
      </c>
      <c r="C3888" s="3" t="str">
        <f>"TFC000002916"</f>
        <v>TFC000002916</v>
      </c>
      <c r="D3888" s="3" t="str">
        <f>"F400-20-2868-(AR 5.4)"</f>
        <v>F400-20-2868-(AR 5.4)</v>
      </c>
      <c r="E3888" s="3" t="str">
        <f>"Summer of fire : Yellowstone 1988"</f>
        <v>Summer of fire : Yellowstone 1988</v>
      </c>
      <c r="F3888" s="3" t="str">
        <f>"by Patricia Lauber"</f>
        <v>by Patricia Lauber</v>
      </c>
      <c r="G3888" s="3" t="str">
        <f>"Scholastic"</f>
        <v>Scholastic</v>
      </c>
      <c r="H3888" s="2" t="str">
        <f>"1991"</f>
        <v>1991</v>
      </c>
      <c r="I3888" s="3" t="str">
        <f>""</f>
        <v/>
      </c>
    </row>
    <row r="3889" spans="1:9" x14ac:dyDescent="0.3">
      <c r="A3889" s="2">
        <v>3888</v>
      </c>
      <c r="B3889" s="4" t="s">
        <v>55</v>
      </c>
      <c r="C3889" s="3" t="str">
        <f>"TFC000003070"</f>
        <v>TFC000003070</v>
      </c>
      <c r="D3889" s="3" t="str">
        <f>"F800-20-2886-(AR 5.4)"</f>
        <v>F800-20-2886-(AR 5.4)</v>
      </c>
      <c r="E3889" s="3" t="str">
        <f>"Balloons over Broadway : the true story of the puppeteer of Macy's Parade"</f>
        <v>Balloons over Broadway : the true story of the puppeteer of Macy's Parade</v>
      </c>
      <c r="F3889" s="3" t="str">
        <f>"written and illustrated by Melissa Sweet"</f>
        <v>written and illustrated by Melissa Sweet</v>
      </c>
      <c r="G3889" s="3" t="str">
        <f>"Houghton Mifflin Books for Children"</f>
        <v>Houghton Mifflin Books for Children</v>
      </c>
      <c r="H3889" s="2" t="str">
        <f>"2011"</f>
        <v>2011</v>
      </c>
      <c r="I3889" s="3" t="str">
        <f>""</f>
        <v/>
      </c>
    </row>
    <row r="3890" spans="1:9" x14ac:dyDescent="0.3">
      <c r="A3890" s="2">
        <v>3889</v>
      </c>
      <c r="B3890" s="4" t="s">
        <v>55</v>
      </c>
      <c r="C3890" s="3" t="str">
        <f>"TFC000003071"</f>
        <v>TFC000003071</v>
      </c>
      <c r="D3890" s="3" t="str">
        <f>"F800-20-2887-(AR 5.4)"</f>
        <v>F800-20-2887-(AR 5.4)</v>
      </c>
      <c r="E3890" s="3" t="str">
        <f>"Island of the Blue Dolphins"</f>
        <v>Island of the Blue Dolphins</v>
      </c>
      <c r="F3890" s="3" t="str">
        <f>"Scott O'Dell ; illustrated by Ted Lewin"</f>
        <v>Scott O'Dell ; illustrated by Ted Lewin</v>
      </c>
      <c r="G3890" s="3" t="str">
        <f>"Houghton Mifflin Harcourt"</f>
        <v>Houghton Mifflin Harcourt</v>
      </c>
      <c r="H3890" s="2" t="str">
        <f>"1990"</f>
        <v>1990</v>
      </c>
      <c r="I3890" s="3" t="str">
        <f>""</f>
        <v/>
      </c>
    </row>
    <row r="3891" spans="1:9" x14ac:dyDescent="0.3">
      <c r="A3891" s="2">
        <v>3890</v>
      </c>
      <c r="B3891" s="4" t="s">
        <v>55</v>
      </c>
      <c r="C3891" s="3" t="str">
        <f>"TFC000003102"</f>
        <v>TFC000003102</v>
      </c>
      <c r="D3891" s="3" t="str">
        <f>"F800-20-2888-(AR 5.4)"</f>
        <v>F800-20-2888-(AR 5.4)</v>
      </c>
      <c r="E3891" s="3" t="str">
        <f>"Never say die"</f>
        <v>Never say die</v>
      </c>
      <c r="F3891" s="3" t="str">
        <f>"Anthony Horowitz"</f>
        <v>Anthony Horowitz</v>
      </c>
      <c r="G3891" s="3" t="str">
        <f>"Philomel Books"</f>
        <v>Philomel Books</v>
      </c>
      <c r="H3891" s="2" t="str">
        <f>"2017"</f>
        <v>2017</v>
      </c>
      <c r="I3891" s="3" t="str">
        <f>""</f>
        <v/>
      </c>
    </row>
    <row r="3892" spans="1:9" x14ac:dyDescent="0.3">
      <c r="A3892" s="2">
        <v>3891</v>
      </c>
      <c r="B3892" s="4" t="s">
        <v>55</v>
      </c>
      <c r="C3892" s="3" t="str">
        <f>"TFC000003665"</f>
        <v>TFC000003665</v>
      </c>
      <c r="D3892" s="3" t="str">
        <f>"F800-21-0882-(AR 5.4)"</f>
        <v>F800-21-0882-(AR 5.4)</v>
      </c>
      <c r="E3892" s="3" t="str">
        <f>"(The)poison jungle. 13"</f>
        <v>(The)poison jungle. 13</v>
      </c>
      <c r="F3892" s="3" t="str">
        <f>"by Tui T. Sutherland ; dragon illustrations by Joy Ang"</f>
        <v>by Tui T. Sutherland ; dragon illustrations by Joy Ang</v>
      </c>
      <c r="G3892" s="3" t="str">
        <f>"Scholastic"</f>
        <v>Scholastic</v>
      </c>
      <c r="H3892" s="2" t="str">
        <f>"2019"</f>
        <v>2019</v>
      </c>
      <c r="I3892" s="3" t="str">
        <f>""</f>
        <v/>
      </c>
    </row>
    <row r="3893" spans="1:9" x14ac:dyDescent="0.3">
      <c r="A3893" s="2">
        <v>3892</v>
      </c>
      <c r="B3893" s="4" t="s">
        <v>55</v>
      </c>
      <c r="C3893" s="3" t="str">
        <f>"TFC000003666"</f>
        <v>TFC000003666</v>
      </c>
      <c r="D3893" s="3" t="str">
        <f>"F800-21-0883-(AR 5.4)"</f>
        <v>F800-21-0883-(AR 5.4)</v>
      </c>
      <c r="E3893" s="3" t="str">
        <f>"(The)lost continent. 11"</f>
        <v>(The)lost continent. 11</v>
      </c>
      <c r="F3893" s="3" t="str">
        <f>"by Tui T. Sutherland ; dragon illustrations by Joy Ang"</f>
        <v>by Tui T. Sutherland ; dragon illustrations by Joy Ang</v>
      </c>
      <c r="G3893" s="3" t="str">
        <f>"Scholastic"</f>
        <v>Scholastic</v>
      </c>
      <c r="H3893" s="2" t="str">
        <f>"2018"</f>
        <v>2018</v>
      </c>
      <c r="I3893" s="3" t="str">
        <f>""</f>
        <v/>
      </c>
    </row>
    <row r="3894" spans="1:9" x14ac:dyDescent="0.3">
      <c r="A3894" s="2">
        <v>3893</v>
      </c>
      <c r="B3894" s="4" t="s">
        <v>55</v>
      </c>
      <c r="C3894" s="3" t="str">
        <f>"TFC000003768"</f>
        <v>TFC000003768</v>
      </c>
      <c r="D3894" s="3" t="str">
        <f>"F800-21-0884-(AR 5.4)"</f>
        <v>F800-21-0884-(AR 5.4)</v>
      </c>
      <c r="E3894" s="3" t="str">
        <f>"Freedom in Congo Square"</f>
        <v>Freedom in Congo Square</v>
      </c>
      <c r="F3894" s="3" t="str">
        <f>"by Carole Boston Weatherford ; illustrated by R. Gregory Christie"</f>
        <v>by Carole Boston Weatherford ; illustrated by R. Gregory Christie</v>
      </c>
      <c r="G3894" s="3" t="str">
        <f>"Little Bee Books"</f>
        <v>Little Bee Books</v>
      </c>
      <c r="H3894" s="2" t="str">
        <f>"2016"</f>
        <v>2016</v>
      </c>
      <c r="I3894" s="3" t="str">
        <f>""</f>
        <v/>
      </c>
    </row>
    <row r="3895" spans="1:9" x14ac:dyDescent="0.3">
      <c r="A3895" s="2">
        <v>3894</v>
      </c>
      <c r="B3895" s="4" t="s">
        <v>55</v>
      </c>
      <c r="C3895" s="3" t="str">
        <f>"TFC000004124"</f>
        <v>TFC000004124</v>
      </c>
      <c r="D3895" s="3" t="str">
        <f>"F800-21-0886-(AR 5.4)"</f>
        <v>F800-21-0886-(AR 5.4)</v>
      </c>
      <c r="E3895" s="3" t="str">
        <f>"Evil spy school : a spy school novel"</f>
        <v>Evil spy school : a spy school novel</v>
      </c>
      <c r="F3895" s="3" t="str">
        <f>"Stuart Gibbs"</f>
        <v>Stuart Gibbs</v>
      </c>
      <c r="G3895" s="3" t="str">
        <f>"Simon &amp; Schuster Books for Young Readers"</f>
        <v>Simon &amp; Schuster Books for Young Readers</v>
      </c>
      <c r="H3895" s="2" t="str">
        <f>"[2015]"</f>
        <v>[2015]</v>
      </c>
      <c r="I3895" s="3" t="str">
        <f>""</f>
        <v/>
      </c>
    </row>
    <row r="3896" spans="1:9" x14ac:dyDescent="0.3">
      <c r="A3896" s="2">
        <v>3895</v>
      </c>
      <c r="B3896" s="4" t="s">
        <v>55</v>
      </c>
      <c r="C3896" s="3" t="str">
        <f>"TFC000004197"</f>
        <v>TFC000004197</v>
      </c>
      <c r="D3896" s="3" t="str">
        <f>"F400-22-0075-(AR 5.4)"</f>
        <v>F400-22-0075-(AR 5.4)</v>
      </c>
      <c r="E3896" s="3" t="str">
        <f>"What If You Had Animal Scales!?: Or Other Animal Coats? : explore the superpowers of ocean animals"</f>
        <v>What If You Had Animal Scales!?: Or Other Animal Coats? : explore the superpowers of ocean animals</v>
      </c>
      <c r="F3896" s="3" t="str">
        <f>"by Sandra Markle ; illustrated by Howard McWilliam"</f>
        <v>by Sandra Markle ; illustrated by Howard McWilliam</v>
      </c>
      <c r="G3896" s="3" t="str">
        <f>"Scholastic"</f>
        <v>Scholastic</v>
      </c>
      <c r="H3896" s="2" t="str">
        <f>"2020"</f>
        <v>2020</v>
      </c>
      <c r="I3896" s="3" t="str">
        <f>""</f>
        <v/>
      </c>
    </row>
    <row r="3897" spans="1:9" x14ac:dyDescent="0.3">
      <c r="A3897" s="2">
        <v>3896</v>
      </c>
      <c r="B3897" s="4" t="s">
        <v>55</v>
      </c>
      <c r="C3897" s="3" t="str">
        <f>"TFC000004296"</f>
        <v>TFC000004296</v>
      </c>
      <c r="D3897" s="3" t="str">
        <f>"F800-22-0076-(AR 5.4)"</f>
        <v>F800-22-0076-(AR 5.4)</v>
      </c>
      <c r="E3897" s="3" t="str">
        <f>"Pandemonium"</f>
        <v>Pandemonium</v>
      </c>
      <c r="F3897" s="3" t="str">
        <f>"by Lauren Oliver"</f>
        <v>by Lauren Oliver</v>
      </c>
      <c r="G3897" s="3" t="str">
        <f>"Harper"</f>
        <v>Harper</v>
      </c>
      <c r="H3897" s="2" t="str">
        <f>"2012"</f>
        <v>2012</v>
      </c>
      <c r="I3897" s="3" t="str">
        <f>""</f>
        <v/>
      </c>
    </row>
    <row r="3898" spans="1:9" x14ac:dyDescent="0.3">
      <c r="A3898" s="2">
        <v>3897</v>
      </c>
      <c r="B3898" s="4" t="s">
        <v>55</v>
      </c>
      <c r="C3898" s="3" t="str">
        <f>"TFC000004810"</f>
        <v>TFC000004810</v>
      </c>
      <c r="D3898" s="3" t="str">
        <f>"F800-22-0548-(AR 5.4)"</f>
        <v>F800-22-0548-(AR 5.4)</v>
      </c>
      <c r="E3898" s="3" t="str">
        <f>"Diary of a Wimpy Kid. 15, The Deep End"</f>
        <v>Diary of a Wimpy Kid. 15, The Deep End</v>
      </c>
      <c r="F3898" s="3" t="str">
        <f>"by Jeff Kinney"</f>
        <v>by Jeff Kinney</v>
      </c>
      <c r="G3898" s="3" t="str">
        <f>"Penguin Books"</f>
        <v>Penguin Books</v>
      </c>
      <c r="H3898" s="2" t="str">
        <f>"2020"</f>
        <v>2020</v>
      </c>
      <c r="I3898" s="3" t="str">
        <f>""</f>
        <v/>
      </c>
    </row>
    <row r="3899" spans="1:9" x14ac:dyDescent="0.3">
      <c r="A3899" s="2">
        <v>3898</v>
      </c>
      <c r="B3899" s="4" t="s">
        <v>55</v>
      </c>
      <c r="C3899" s="3" t="str">
        <f>"TFC000004513"</f>
        <v>TFC000004513</v>
      </c>
      <c r="D3899" s="3" t="str">
        <f>"F800-22-0322-(AR5.4)"</f>
        <v>F800-22-0322-(AR5.4)</v>
      </c>
      <c r="E3899" s="3" t="str">
        <f>"Always looking up : Nancy Grace Roman, astronomer"</f>
        <v>Always looking up : Nancy Grace Roman, astronomer</v>
      </c>
      <c r="F3899" s="3" t="str">
        <f>"by Laura Gehl, illustrated by Louise Pigott and Alex Oxton"</f>
        <v>by Laura Gehl, illustrated by Louise Pigott and Alex Oxton</v>
      </c>
      <c r="G3899" s="3" t="str">
        <f>"Albert Whitman &amp; Company"</f>
        <v>Albert Whitman &amp; Company</v>
      </c>
      <c r="H3899" s="2" t="str">
        <f>"2019"</f>
        <v>2019</v>
      </c>
      <c r="I3899" s="3" t="str">
        <f>""</f>
        <v/>
      </c>
    </row>
    <row r="3900" spans="1:9" x14ac:dyDescent="0.3">
      <c r="A3900" s="2">
        <v>3899</v>
      </c>
      <c r="B3900" s="4" t="s">
        <v>55</v>
      </c>
      <c r="C3900" s="3" t="str">
        <f>"TFC000004514"</f>
        <v>TFC000004514</v>
      </c>
      <c r="D3900" s="3" t="str">
        <f>"F800-22-0323-(AR5.4)"</f>
        <v>F800-22-0323-(AR5.4)</v>
      </c>
      <c r="E3900" s="3" t="str">
        <f>"(The)seed of compassion : lessons from the life and teachings of His Holiness the Dalai Lama"</f>
        <v>(The)seed of compassion : lessons from the life and teachings of His Holiness the Dalai Lama</v>
      </c>
      <c r="F3900" s="3" t="str">
        <f>"by his holiness the Dalai Lama, illustrations by Bao Luu"</f>
        <v>by his holiness the Dalai Lama, illustrations by Bao Luu</v>
      </c>
      <c r="G3900" s="3" t="str">
        <f>"Kokila"</f>
        <v>Kokila</v>
      </c>
      <c r="H3900" s="2" t="str">
        <f>"2020"</f>
        <v>2020</v>
      </c>
      <c r="I3900" s="3" t="str">
        <f>""</f>
        <v/>
      </c>
    </row>
    <row r="3901" spans="1:9" x14ac:dyDescent="0.3">
      <c r="A3901" s="2">
        <v>3900</v>
      </c>
      <c r="B3901" s="4" t="s">
        <v>55</v>
      </c>
      <c r="C3901" s="3" t="str">
        <f>"TFC000004580"</f>
        <v>TFC000004580</v>
      </c>
      <c r="D3901" s="3" t="str">
        <f>"F800-22-0389-(AR5.4)"</f>
        <v>F800-22-0389-(AR5.4)</v>
      </c>
      <c r="E3901" s="3" t="str">
        <f>"Riders of the Realm, Beneath the Weeping Clouds"</f>
        <v>Riders of the Realm, Beneath the Weeping Clouds</v>
      </c>
      <c r="F3901" s="3" t="str">
        <f>"by Jennifer Lynn Alvarez"</f>
        <v>by Jennifer Lynn Alvarez</v>
      </c>
      <c r="G3901" s="3" t="str">
        <f>"HarperCollins"</f>
        <v>HarperCollins</v>
      </c>
      <c r="H3901" s="2" t="str">
        <f>"2019"</f>
        <v>2019</v>
      </c>
      <c r="I3901" s="3" t="str">
        <f>""</f>
        <v/>
      </c>
    </row>
    <row r="3902" spans="1:9" x14ac:dyDescent="0.3">
      <c r="A3902" s="2">
        <v>3901</v>
      </c>
      <c r="B3902" s="4" t="s">
        <v>55</v>
      </c>
      <c r="C3902" s="3" t="str">
        <f>"TFC000004581"</f>
        <v>TFC000004581</v>
      </c>
      <c r="D3902" s="3" t="str">
        <f>"F800-22-0390-(AR5.4)"</f>
        <v>F800-22-0390-(AR5.4)</v>
      </c>
      <c r="E3902" s="3" t="str">
        <f>"Cattywampus"</f>
        <v>Cattywampus</v>
      </c>
      <c r="F3902" s="3" t="str">
        <f>"by Ash Van Otterloo"</f>
        <v>by Ash Van Otterloo</v>
      </c>
      <c r="G3902" s="3" t="str">
        <f>"Scholastic Inc"</f>
        <v>Scholastic Inc</v>
      </c>
      <c r="H3902" s="2" t="str">
        <f>"2020"</f>
        <v>2020</v>
      </c>
      <c r="I3902" s="3" t="str">
        <f>""</f>
        <v/>
      </c>
    </row>
    <row r="3903" spans="1:9" x14ac:dyDescent="0.3">
      <c r="A3903" s="2">
        <v>3902</v>
      </c>
      <c r="B3903" s="4" t="s">
        <v>55</v>
      </c>
      <c r="C3903" s="3" t="str">
        <f>"TFC000004840"</f>
        <v>TFC000004840</v>
      </c>
      <c r="D3903" s="3" t="str">
        <f>"F800-22-0570-(AR5.4)"</f>
        <v>F800-22-0570-(AR5.4)</v>
      </c>
      <c r="E3903" s="3" t="str">
        <f>"Midnight Sun"</f>
        <v>Midnight Sun</v>
      </c>
      <c r="F3903" s="3" t="str">
        <f>"by Stephenie Meyer"</f>
        <v>by Stephenie Meyer</v>
      </c>
      <c r="G3903" s="3" t="str">
        <f>"Little, Brown Books for Young Readers"</f>
        <v>Little, Brown Books for Young Readers</v>
      </c>
      <c r="H3903" s="2" t="str">
        <f>"2020"</f>
        <v>2020</v>
      </c>
      <c r="I3903" s="3" t="str">
        <f>""</f>
        <v/>
      </c>
    </row>
    <row r="3904" spans="1:9" x14ac:dyDescent="0.3">
      <c r="A3904" s="2">
        <v>3903</v>
      </c>
      <c r="B3904" s="4" t="s">
        <v>55</v>
      </c>
      <c r="C3904" s="3" t="str">
        <f>"TFC000004626"</f>
        <v>TFC000004626</v>
      </c>
      <c r="D3904" s="3" t="str">
        <f>"F800-22-0435-(AR5.4)"</f>
        <v>F800-22-0435-(AR5.4)</v>
      </c>
      <c r="E3904" s="3" t="str">
        <f>"Sparks of Light"</f>
        <v>Sparks of Light</v>
      </c>
      <c r="F3904" s="3" t="str">
        <f>"by Janet B. Taylor"</f>
        <v>by Janet B. Taylor</v>
      </c>
      <c r="G3904" s="3" t="str">
        <f>"Houghton Mifflin"</f>
        <v>Houghton Mifflin</v>
      </c>
      <c r="H3904" s="2" t="str">
        <f>"2018"</f>
        <v>2018</v>
      </c>
      <c r="I3904" s="3" t="str">
        <f>""</f>
        <v/>
      </c>
    </row>
    <row r="3905" spans="1:9" x14ac:dyDescent="0.3">
      <c r="A3905" s="2">
        <v>3904</v>
      </c>
      <c r="B3905" s="4" t="s">
        <v>55</v>
      </c>
      <c r="C3905" s="3" t="str">
        <f>"TFC000004725"</f>
        <v>TFC000004725</v>
      </c>
      <c r="D3905" s="3" t="str">
        <f>"F800-22-0524-1(AR 5.4)"</f>
        <v>F800-22-0524-1(AR 5.4)</v>
      </c>
      <c r="E3905" s="3" t="str">
        <f>"Dork diaries. 1"</f>
        <v>Dork diaries. 1</v>
      </c>
      <c r="F3905" s="3" t="str">
        <f>"by Rachel Renee Russell"</f>
        <v>by Rachel Renee Russell</v>
      </c>
      <c r="G3905" s="3" t="str">
        <f>"Simon &amp; Schuster"</f>
        <v>Simon &amp; Schuster</v>
      </c>
      <c r="H3905" s="2" t="str">
        <f>"2015"</f>
        <v>2015</v>
      </c>
      <c r="I3905" s="3" t="str">
        <f>""</f>
        <v/>
      </c>
    </row>
    <row r="3906" spans="1:9" x14ac:dyDescent="0.3">
      <c r="A3906" s="2">
        <v>3905</v>
      </c>
      <c r="B3906" s="4">
        <v>5.4</v>
      </c>
      <c r="C3906" s="3" t="str">
        <f>"TFC000004104"</f>
        <v>TFC000004104</v>
      </c>
      <c r="D3906" s="3" t="str">
        <f>"F800-21-0885-15(AR 5.4)"</f>
        <v>F800-21-0885-15(AR 5.4)</v>
      </c>
      <c r="E3906" s="3" t="str">
        <f>"Diary of a wimpy kid. 15, (The)Deep end"</f>
        <v>Diary of a wimpy kid. 15, (The)Deep end</v>
      </c>
      <c r="F3906" s="3" t="str">
        <f>"by Jeff Kinney"</f>
        <v>by Jeff Kinney</v>
      </c>
      <c r="G3906" s="3" t="str">
        <f>"Amulet Books"</f>
        <v>Amulet Books</v>
      </c>
      <c r="H3906" s="2" t="str">
        <f>"2020"</f>
        <v>2020</v>
      </c>
      <c r="I3906" s="3" t="str">
        <f>""</f>
        <v/>
      </c>
    </row>
    <row r="3907" spans="1:9" x14ac:dyDescent="0.3">
      <c r="A3907" s="2">
        <v>3906</v>
      </c>
      <c r="B3907" s="4">
        <v>5.4</v>
      </c>
      <c r="C3907" s="3" t="str">
        <f>"TFC000004727"</f>
        <v>TFC000004727</v>
      </c>
      <c r="D3907" s="3" t="str">
        <f>"F800-22-0524-3(AR 5.4)"</f>
        <v>F800-22-0524-3(AR 5.4)</v>
      </c>
      <c r="E3907" s="3" t="str">
        <f>"Dork diaries. 3, Pop star"</f>
        <v>Dork diaries. 3, Pop star</v>
      </c>
      <c r="F3907" s="3" t="str">
        <f>"by Rachel Renee Russell"</f>
        <v>by Rachel Renee Russell</v>
      </c>
      <c r="G3907" s="3" t="str">
        <f>"Simon &amp; Schuster"</f>
        <v>Simon &amp; Schuster</v>
      </c>
      <c r="H3907" s="2" t="str">
        <f>"2016"</f>
        <v>2016</v>
      </c>
      <c r="I3907" s="3" t="str">
        <f>""</f>
        <v/>
      </c>
    </row>
    <row r="3908" spans="1:9" x14ac:dyDescent="0.3">
      <c r="A3908" s="2">
        <v>3907</v>
      </c>
      <c r="B3908" s="4" t="s">
        <v>56</v>
      </c>
      <c r="C3908" s="3" t="str">
        <f>"TFC000002578"</f>
        <v>TFC000002578</v>
      </c>
      <c r="D3908" s="3" t="str">
        <f>"F400-20-2899-(AR 5.5)"</f>
        <v>F400-20-2899-(AR 5.5)</v>
      </c>
      <c r="E3908" s="3" t="str">
        <f>"Coral reefs"</f>
        <v>Coral reefs</v>
      </c>
      <c r="F3908" s="3" t="str">
        <f>"by Gail Gibbons"</f>
        <v>by Gail Gibbons</v>
      </c>
      <c r="G3908" s="3" t="str">
        <f>"Holiday House"</f>
        <v>Holiday House</v>
      </c>
      <c r="H3908" s="2" t="str">
        <f>"2019"</f>
        <v>2019</v>
      </c>
      <c r="I3908" s="3" t="str">
        <f>""</f>
        <v/>
      </c>
    </row>
    <row r="3909" spans="1:9" x14ac:dyDescent="0.3">
      <c r="A3909" s="2">
        <v>3908</v>
      </c>
      <c r="B3909" s="4" t="s">
        <v>56</v>
      </c>
      <c r="C3909" s="3" t="str">
        <f>"TFC000002579"</f>
        <v>TFC000002579</v>
      </c>
      <c r="D3909" s="3" t="str">
        <f>"F400-20-2900-(AR 5.5)"</f>
        <v>F400-20-2900-(AR 5.5)</v>
      </c>
      <c r="E3909" s="3" t="str">
        <f>"Desert giant : the world of the saguaro cactus"</f>
        <v>Desert giant : the world of the saguaro cactus</v>
      </c>
      <c r="F3909" s="3" t="str">
        <f>"Barbara Bash"</f>
        <v>Barbara Bash</v>
      </c>
      <c r="G3909" s="3" t="str">
        <f>"Sierra Club Books for Children"</f>
        <v>Sierra Club Books for Children</v>
      </c>
      <c r="H3909" s="2" t="str">
        <f>"1989"</f>
        <v>1989</v>
      </c>
      <c r="I3909" s="3" t="str">
        <f>""</f>
        <v/>
      </c>
    </row>
    <row r="3910" spans="1:9" x14ac:dyDescent="0.3">
      <c r="A3910" s="2">
        <v>3909</v>
      </c>
      <c r="B3910" s="4" t="s">
        <v>56</v>
      </c>
      <c r="C3910" s="3" t="str">
        <f>"TFC000002580"</f>
        <v>TFC000002580</v>
      </c>
      <c r="D3910" s="3" t="str">
        <f>"F800-20-2901-(AR 5.5)"</f>
        <v>F800-20-2901-(AR 5.5)</v>
      </c>
      <c r="E3910" s="3" t="str">
        <f>"Ender's game"</f>
        <v>Ender's game</v>
      </c>
      <c r="F3910" s="3" t="str">
        <f>"Orson Scott Card"</f>
        <v>Orson Scott Card</v>
      </c>
      <c r="G3910" s="3" t="str">
        <f>"Tor"</f>
        <v>Tor</v>
      </c>
      <c r="H3910" s="2" t="str">
        <f>"2014"</f>
        <v>2014</v>
      </c>
      <c r="I3910" s="3" t="str">
        <f>""</f>
        <v/>
      </c>
    </row>
    <row r="3911" spans="1:9" x14ac:dyDescent="0.3">
      <c r="A3911" s="2">
        <v>3910</v>
      </c>
      <c r="B3911" s="4" t="s">
        <v>56</v>
      </c>
      <c r="C3911" s="3" t="str">
        <f>"TFC000002581"</f>
        <v>TFC000002581</v>
      </c>
      <c r="D3911" s="3" t="str">
        <f>"F800-20-2902-(AR 5.5)"</f>
        <v>F800-20-2902-(AR 5.5)</v>
      </c>
      <c r="E3911" s="3" t="str">
        <f>"Tehanu"</f>
        <v>Tehanu</v>
      </c>
      <c r="F3911" s="3" t="str">
        <f>"Ursula K. Le Guin"</f>
        <v>Ursula K. Le Guin</v>
      </c>
      <c r="G3911" s="3" t="str">
        <f>"Atheneum Books for Young Readers"</f>
        <v>Atheneum Books for Young Readers</v>
      </c>
      <c r="H3911" s="2" t="str">
        <f>"2012"</f>
        <v>2012</v>
      </c>
      <c r="I3911" s="3" t="str">
        <f>""</f>
        <v/>
      </c>
    </row>
    <row r="3912" spans="1:9" x14ac:dyDescent="0.3">
      <c r="A3912" s="2">
        <v>3911</v>
      </c>
      <c r="B3912" s="4" t="s">
        <v>56</v>
      </c>
      <c r="C3912" s="3" t="str">
        <f>"TFC000002582"</f>
        <v>TFC000002582</v>
      </c>
      <c r="D3912" s="3" t="str">
        <f>"F800-20-2903-(AR 5.5)"</f>
        <v>F800-20-2903-(AR 5.5)</v>
      </c>
      <c r="E3912" s="3" t="str">
        <f>"Diary of a Wimpy kid. 14, wrecking ball"</f>
        <v>Diary of a Wimpy kid. 14, wrecking ball</v>
      </c>
      <c r="F3912" s="3" t="str">
        <f>"by Jeff Kinney"</f>
        <v>by Jeff Kinney</v>
      </c>
      <c r="G3912" s="3" t="str">
        <f>"Amuet Books"</f>
        <v>Amuet Books</v>
      </c>
      <c r="H3912" s="2" t="str">
        <f>"2019"</f>
        <v>2019</v>
      </c>
      <c r="I3912" s="3" t="str">
        <f>""</f>
        <v/>
      </c>
    </row>
    <row r="3913" spans="1:9" x14ac:dyDescent="0.3">
      <c r="A3913" s="2">
        <v>3912</v>
      </c>
      <c r="B3913" s="4" t="s">
        <v>56</v>
      </c>
      <c r="C3913" s="3" t="str">
        <f>"TFC000002583"</f>
        <v>TFC000002583</v>
      </c>
      <c r="D3913" s="3" t="str">
        <f>"F800-20-2904-(AR 5.5)"</f>
        <v>F800-20-2904-(AR 5.5)</v>
      </c>
      <c r="E3913" s="3" t="str">
        <f>"Diary of a wimpy kid. 5, The ugly truth"</f>
        <v>Diary of a wimpy kid. 5, The ugly truth</v>
      </c>
      <c r="F3913" s="3" t="str">
        <f>"by Jeff Kinney"</f>
        <v>by Jeff Kinney</v>
      </c>
      <c r="G3913" s="3" t="str">
        <f>"Amulet Books"</f>
        <v>Amulet Books</v>
      </c>
      <c r="H3913" s="2" t="str">
        <f>"2010"</f>
        <v>2010</v>
      </c>
      <c r="I3913" s="3" t="str">
        <f>""</f>
        <v/>
      </c>
    </row>
    <row r="3914" spans="1:9" x14ac:dyDescent="0.3">
      <c r="A3914" s="2">
        <v>3913</v>
      </c>
      <c r="B3914" s="4" t="s">
        <v>56</v>
      </c>
      <c r="C3914" s="3" t="str">
        <f>"TFC000002584"</f>
        <v>TFC000002584</v>
      </c>
      <c r="D3914" s="3" t="str">
        <f>"F800-20-2905-(AR 5.5)"</f>
        <v>F800-20-2905-(AR 5.5)</v>
      </c>
      <c r="E3914" s="3" t="str">
        <f>"Where the mountain meets the moon"</f>
        <v>Where the mountain meets the moon</v>
      </c>
      <c r="F3914" s="3" t="str">
        <f>"Grace Lin"</f>
        <v>Grace Lin</v>
      </c>
      <c r="G3914" s="3" t="str">
        <f>"Little, Brown and Company"</f>
        <v>Little, Brown and Company</v>
      </c>
      <c r="H3914" s="2" t="str">
        <f>"2016"</f>
        <v>2016</v>
      </c>
      <c r="I3914" s="3" t="str">
        <f>""</f>
        <v/>
      </c>
    </row>
    <row r="3915" spans="1:9" x14ac:dyDescent="0.3">
      <c r="A3915" s="2">
        <v>3914</v>
      </c>
      <c r="B3915" s="4" t="s">
        <v>56</v>
      </c>
      <c r="C3915" s="3" t="str">
        <f>"TFC000002585"</f>
        <v>TFC000002585</v>
      </c>
      <c r="D3915" s="3" t="str">
        <f>"F800-20-2906-(AR 5.5)"</f>
        <v>F800-20-2906-(AR 5.5)</v>
      </c>
      <c r="E3915" s="3" t="str">
        <f>"(The)tyrant's tomb"</f>
        <v>(The)tyrant's tomb</v>
      </c>
      <c r="F3915" s="3" t="str">
        <f>"Rick Riordan"</f>
        <v>Rick Riordan</v>
      </c>
      <c r="G3915" s="3" t="str">
        <f>"Disney·Hyperion"</f>
        <v>Disney·Hyperion</v>
      </c>
      <c r="H3915" s="2" t="str">
        <f>"2019"</f>
        <v>2019</v>
      </c>
      <c r="I3915" s="3" t="str">
        <f>""</f>
        <v/>
      </c>
    </row>
    <row r="3916" spans="1:9" x14ac:dyDescent="0.3">
      <c r="A3916" s="2">
        <v>3915</v>
      </c>
      <c r="B3916" s="4" t="s">
        <v>56</v>
      </c>
      <c r="C3916" s="3" t="str">
        <f>"TFC000002587"</f>
        <v>TFC000002587</v>
      </c>
      <c r="D3916" s="3" t="str">
        <f>"F800-20-2908-(AR 5.5)"</f>
        <v>F800-20-2908-(AR 5.5)</v>
      </c>
      <c r="E3916" s="3" t="str">
        <f>"Surviving the applewhites"</f>
        <v>Surviving the applewhites</v>
      </c>
      <c r="F3916" s="3" t="str">
        <f>"Stephanie S. Tolan"</f>
        <v>Stephanie S. Tolan</v>
      </c>
      <c r="G3916" s="3" t="str">
        <f>"Harper"</f>
        <v>Harper</v>
      </c>
      <c r="H3916" s="2" t="str">
        <f>"2012"</f>
        <v>2012</v>
      </c>
      <c r="I3916" s="3" t="str">
        <f>""</f>
        <v/>
      </c>
    </row>
    <row r="3917" spans="1:9" x14ac:dyDescent="0.3">
      <c r="A3917" s="2">
        <v>3916</v>
      </c>
      <c r="B3917" s="4" t="s">
        <v>56</v>
      </c>
      <c r="C3917" s="3" t="str">
        <f>"TFC000002588"</f>
        <v>TFC000002588</v>
      </c>
      <c r="D3917" s="3" t="str">
        <f>"F900-20-2911-(AR 5.5)"</f>
        <v>F900-20-2911-(AR 5.5)</v>
      </c>
      <c r="E3917" s="3" t="str">
        <f>"Let it begin here! : Lexington &amp; Concord : first battles of the American Revolution"</f>
        <v>Let it begin here! : Lexington &amp; Concord : first battles of the American Revolution</v>
      </c>
      <c r="F3917" s="3" t="str">
        <f>"Dennis Brindell Fradin ; illustrations by Larry Day"</f>
        <v>Dennis Brindell Fradin ; illustrations by Larry Day</v>
      </c>
      <c r="G3917" s="3" t="str">
        <f>"Walker Childrens"</f>
        <v>Walker Childrens</v>
      </c>
      <c r="H3917" s="2" t="str">
        <f>"2009"</f>
        <v>2009</v>
      </c>
      <c r="I3917" s="3" t="str">
        <f>""</f>
        <v/>
      </c>
    </row>
    <row r="3918" spans="1:9" x14ac:dyDescent="0.3">
      <c r="A3918" s="2">
        <v>3917</v>
      </c>
      <c r="B3918" s="4" t="s">
        <v>56</v>
      </c>
      <c r="C3918" s="3" t="str">
        <f>"TFC000002592"</f>
        <v>TFC000002592</v>
      </c>
      <c r="D3918" s="3" t="str">
        <f>"F900-20-2915-(AR 5.5)"</f>
        <v>F900-20-2915-(AR 5.5)</v>
      </c>
      <c r="E3918" s="3" t="str">
        <f>"Who was Galileo?"</f>
        <v>Who was Galileo?</v>
      </c>
      <c r="F3918" s="3" t="str">
        <f>"by Patricia Brennan Demuth ; illustrated by John O'Brien"</f>
        <v>by Patricia Brennan Demuth ; illustrated by John O'Brien</v>
      </c>
      <c r="G3918" s="3" t="str">
        <f>"Penguin Workshop"</f>
        <v>Penguin Workshop</v>
      </c>
      <c r="H3918" s="2" t="str">
        <f>"2015"</f>
        <v>2015</v>
      </c>
      <c r="I3918" s="3" t="str">
        <f>""</f>
        <v/>
      </c>
    </row>
    <row r="3919" spans="1:9" x14ac:dyDescent="0.3">
      <c r="A3919" s="2">
        <v>3918</v>
      </c>
      <c r="B3919" s="4" t="s">
        <v>56</v>
      </c>
      <c r="C3919" s="3" t="str">
        <f>"TFC000002593"</f>
        <v>TFC000002593</v>
      </c>
      <c r="D3919" s="3" t="str">
        <f>"F900-20-2916-(AR 5.5)"</f>
        <v>F900-20-2916-(AR 5.5)</v>
      </c>
      <c r="E3919" s="3" t="str">
        <f>"Ludwig van Beethoven"</f>
        <v>Ludwig van Beethoven</v>
      </c>
      <c r="F3919" s="3" t="str">
        <f>"written and illustrated by Mike Venezia"</f>
        <v>written and illustrated by Mike Venezia</v>
      </c>
      <c r="G3919" s="3" t="str">
        <f>"Children's Press"</f>
        <v>Children's Press</v>
      </c>
      <c r="H3919" s="2" t="str">
        <f>"2017"</f>
        <v>2017</v>
      </c>
      <c r="I3919" s="3" t="str">
        <f>""</f>
        <v/>
      </c>
    </row>
    <row r="3920" spans="1:9" x14ac:dyDescent="0.3">
      <c r="A3920" s="2">
        <v>3919</v>
      </c>
      <c r="B3920" s="4" t="s">
        <v>56</v>
      </c>
      <c r="C3920" s="3" t="str">
        <f>"TFC000002594"</f>
        <v>TFC000002594</v>
      </c>
      <c r="D3920" s="3" t="str">
        <f>"F900-20-2917-(AR 5.5)"</f>
        <v>F900-20-2917-(AR 5.5)</v>
      </c>
      <c r="E3920" s="3" t="str">
        <f>"Who was J.R.R. Tolkien?"</f>
        <v>Who was J.R.R. Tolkien?</v>
      </c>
      <c r="F3920" s="3" t="str">
        <f>"by Pam Pollack, Meg Belviso ; illustrated by Jonathan Moore"</f>
        <v>by Pam Pollack, Meg Belviso ; illustrated by Jonathan Moore</v>
      </c>
      <c r="G3920" s="3" t="str">
        <f>"Penguin Workshop"</f>
        <v>Penguin Workshop</v>
      </c>
      <c r="H3920" s="2" t="str">
        <f>"2015"</f>
        <v>2015</v>
      </c>
      <c r="I3920" s="3" t="str">
        <f>""</f>
        <v/>
      </c>
    </row>
    <row r="3921" spans="1:9" x14ac:dyDescent="0.3">
      <c r="A3921" s="2">
        <v>3920</v>
      </c>
      <c r="B3921" s="4" t="s">
        <v>56</v>
      </c>
      <c r="C3921" s="3" t="str">
        <f>"TFC000002595"</f>
        <v>TFC000002595</v>
      </c>
      <c r="D3921" s="3" t="str">
        <f>"F900-20-2918-(AR 5.5)"</f>
        <v>F900-20-2918-(AR 5.5)</v>
      </c>
      <c r="E3921" s="3" t="str">
        <f>"Who is Jeff Kinney?"</f>
        <v>Who is Jeff Kinney?</v>
      </c>
      <c r="F3921" s="3" t="str">
        <f>"by Patrick Kinney ; illustrated by John Hinderliter"</f>
        <v>by Patrick Kinney ; illustrated by John Hinderliter</v>
      </c>
      <c r="G3921" s="3" t="str">
        <f>"Penguin Workshop"</f>
        <v>Penguin Workshop</v>
      </c>
      <c r="H3921" s="2" t="str">
        <f>"2015"</f>
        <v>2015</v>
      </c>
      <c r="I3921" s="3" t="str">
        <f>""</f>
        <v/>
      </c>
    </row>
    <row r="3922" spans="1:9" x14ac:dyDescent="0.3">
      <c r="A3922" s="2">
        <v>3921</v>
      </c>
      <c r="B3922" s="4" t="s">
        <v>56</v>
      </c>
      <c r="C3922" s="3" t="str">
        <f>"TFC000002596"</f>
        <v>TFC000002596</v>
      </c>
      <c r="D3922" s="3" t="str">
        <f>"F900-20-2919-(AR 5.5)"</f>
        <v>F900-20-2919-(AR 5.5)</v>
      </c>
      <c r="E3922" s="3" t="str">
        <f>"Who was Maurice Sendak?"</f>
        <v>Who was Maurice Sendak?</v>
      </c>
      <c r="F3922" s="3" t="str">
        <f>"by Janet B. Pascal ; illustrated by Stephen Marchesi"</f>
        <v>by Janet B. Pascal ; illustrated by Stephen Marchesi</v>
      </c>
      <c r="G3922" s="3" t="str">
        <f>"Grosset &amp; Dunlap"</f>
        <v>Grosset &amp; Dunlap</v>
      </c>
      <c r="H3922" s="2" t="str">
        <f>"2013"</f>
        <v>2013</v>
      </c>
      <c r="I3922" s="3" t="str">
        <f>""</f>
        <v/>
      </c>
    </row>
    <row r="3923" spans="1:9" x14ac:dyDescent="0.3">
      <c r="A3923" s="2">
        <v>3922</v>
      </c>
      <c r="B3923" s="4" t="s">
        <v>56</v>
      </c>
      <c r="C3923" s="3" t="str">
        <f>"TFC000003099"</f>
        <v>TFC000003099</v>
      </c>
      <c r="D3923" s="3" t="str">
        <f>"F800-20-2909-(AR 5.5)"</f>
        <v>F800-20-2909-(AR 5.5)</v>
      </c>
      <c r="E3923" s="3" t="str">
        <f>"Keeper of the lost cities. Book five, lodestar"</f>
        <v>Keeper of the lost cities. Book five, lodestar</v>
      </c>
      <c r="F3923" s="3" t="str">
        <f>"by Shannon Messenger"</f>
        <v>by Shannon Messenger</v>
      </c>
      <c r="G3923" s="3" t="str">
        <f>"Aladdin"</f>
        <v>Aladdin</v>
      </c>
      <c r="H3923" s="2" t="str">
        <f>"2016"</f>
        <v>2016</v>
      </c>
      <c r="I3923" s="3" t="str">
        <f>""</f>
        <v/>
      </c>
    </row>
    <row r="3924" spans="1:9" x14ac:dyDescent="0.3">
      <c r="A3924" s="2">
        <v>3923</v>
      </c>
      <c r="B3924" s="4" t="s">
        <v>56</v>
      </c>
      <c r="C3924" s="3" t="str">
        <f>"TFC000003156"</f>
        <v>TFC000003156</v>
      </c>
      <c r="D3924" s="3" t="str">
        <f>"F800-20-2910-(AR 5.5)"</f>
        <v>F800-20-2910-(AR 5.5)</v>
      </c>
      <c r="E3924" s="3" t="str">
        <f>"Who could that be at this hour?"</f>
        <v>Who could that be at this hour?</v>
      </c>
      <c r="F3924" s="3" t="str">
        <f>"Lemony Snicket ; art by Seth"</f>
        <v>Lemony Snicket ; art by Seth</v>
      </c>
      <c r="G3924" s="3" t="str">
        <f>"Little, Brown"</f>
        <v>Little, Brown</v>
      </c>
      <c r="H3924" s="2" t="str">
        <f>"2012"</f>
        <v>2012</v>
      </c>
      <c r="I3924" s="3" t="str">
        <f>""</f>
        <v/>
      </c>
    </row>
    <row r="3925" spans="1:9" x14ac:dyDescent="0.3">
      <c r="A3925" s="2">
        <v>3924</v>
      </c>
      <c r="B3925" s="4" t="s">
        <v>56</v>
      </c>
      <c r="C3925" s="3" t="str">
        <f>"TFC000003485"</f>
        <v>TFC000003485</v>
      </c>
      <c r="D3925" s="3" t="str">
        <f>"F800-21-0888-(AR 5.5)"</f>
        <v>F800-21-0888-(AR 5.5)</v>
      </c>
      <c r="E3925" s="3" t="str">
        <f>"Freak the mighty"</f>
        <v>Freak the mighty</v>
      </c>
      <c r="F3925" s="3" t="str">
        <f>"by Rodman Philbrick"</f>
        <v>by Rodman Philbrick</v>
      </c>
      <c r="G3925" s="3" t="str">
        <f>"Scholastic"</f>
        <v>Scholastic</v>
      </c>
      <c r="H3925" s="2" t="str">
        <f>"2018"</f>
        <v>2018</v>
      </c>
      <c r="I3925" s="3" t="str">
        <f>""</f>
        <v/>
      </c>
    </row>
    <row r="3926" spans="1:9" x14ac:dyDescent="0.3">
      <c r="A3926" s="2">
        <v>3925</v>
      </c>
      <c r="B3926" s="4" t="s">
        <v>56</v>
      </c>
      <c r="C3926" s="3" t="str">
        <f>"TFC000003640"</f>
        <v>TFC000003640</v>
      </c>
      <c r="D3926" s="3" t="str">
        <f>"F800-21-0889-(AR 5.5)"</f>
        <v>F800-21-0889-(AR 5.5)</v>
      </c>
      <c r="E3926" s="3" t="str">
        <f>"Martin the Warrior"</f>
        <v>Martin the Warrior</v>
      </c>
      <c r="F3926" s="3" t="str">
        <f>"by Brian Jacques ; illustrated by Gary Chalk"</f>
        <v>by Brian Jacques ; illustrated by Gary Chalk</v>
      </c>
      <c r="G3926" s="3" t="str">
        <f>"Firebird"</f>
        <v>Firebird</v>
      </c>
      <c r="H3926" s="2" t="str">
        <f>"2004"</f>
        <v>2004</v>
      </c>
      <c r="I3926" s="3" t="str">
        <f>""</f>
        <v/>
      </c>
    </row>
    <row r="3927" spans="1:9" x14ac:dyDescent="0.3">
      <c r="A3927" s="2">
        <v>3926</v>
      </c>
      <c r="B3927" s="4" t="s">
        <v>56</v>
      </c>
      <c r="C3927" s="3" t="str">
        <f>"TFC000003664"</f>
        <v>TFC000003664</v>
      </c>
      <c r="D3927" s="3" t="str">
        <f>"F800-21-0890-(AR 5.5)"</f>
        <v>F800-21-0890-(AR 5.5)</v>
      </c>
      <c r="E3927" s="3" t="str">
        <f>"(The)dark secret. 4"</f>
        <v>(The)dark secret. 4</v>
      </c>
      <c r="F3927" s="3" t="str">
        <f>"by Tui T. Sutherland"</f>
        <v>by Tui T. Sutherland</v>
      </c>
      <c r="G3927" s="3" t="str">
        <f>"Scholastic Press"</f>
        <v>Scholastic Press</v>
      </c>
      <c r="H3927" s="2" t="str">
        <f>"2014"</f>
        <v>2014</v>
      </c>
      <c r="I3927" s="3" t="str">
        <f>""</f>
        <v/>
      </c>
    </row>
    <row r="3928" spans="1:9" x14ac:dyDescent="0.3">
      <c r="A3928" s="2">
        <v>3927</v>
      </c>
      <c r="B3928" s="4" t="s">
        <v>56</v>
      </c>
      <c r="C3928" s="3" t="str">
        <f>"TFC000003669"</f>
        <v>TFC000003669</v>
      </c>
      <c r="D3928" s="3" t="str">
        <f>"F800-21-0891-(AR 5.5)"</f>
        <v>F800-21-0891-(AR 5.5)</v>
      </c>
      <c r="E3928" s="3" t="str">
        <f>"(The)dangerous gift. 14"</f>
        <v>(The)dangerous gift. 14</v>
      </c>
      <c r="F3928" s="3" t="str">
        <f>"by Tui T. Sutherland"</f>
        <v>by Tui T. Sutherland</v>
      </c>
      <c r="G3928" s="3" t="str">
        <f>"Scholastic Press"</f>
        <v>Scholastic Press</v>
      </c>
      <c r="H3928" s="2" t="str">
        <f>"2021"</f>
        <v>2021</v>
      </c>
      <c r="I3928" s="3" t="str">
        <f>""</f>
        <v/>
      </c>
    </row>
    <row r="3929" spans="1:9" x14ac:dyDescent="0.3">
      <c r="A3929" s="2">
        <v>3928</v>
      </c>
      <c r="B3929" s="4" t="s">
        <v>56</v>
      </c>
      <c r="C3929" s="3" t="str">
        <f>"TFC000003672"</f>
        <v>TFC000003672</v>
      </c>
      <c r="D3929" s="3" t="str">
        <f>"F800-21-0892-(AR 5.5)"</f>
        <v>F800-21-0892-(AR 5.5)</v>
      </c>
      <c r="E3929" s="3" t="str">
        <f>"(The)brightest night. 5"</f>
        <v>(The)brightest night. 5</v>
      </c>
      <c r="F3929" s="3" t="str">
        <f>"by Tui T. Sutherland"</f>
        <v>by Tui T. Sutherland</v>
      </c>
      <c r="G3929" s="3" t="str">
        <f>"Scholastic"</f>
        <v>Scholastic</v>
      </c>
      <c r="H3929" s="2" t="str">
        <f>"2014"</f>
        <v>2014</v>
      </c>
      <c r="I3929" s="3" t="str">
        <f>""</f>
        <v/>
      </c>
    </row>
    <row r="3930" spans="1:9" x14ac:dyDescent="0.3">
      <c r="A3930" s="2">
        <v>3929</v>
      </c>
      <c r="B3930" s="4" t="s">
        <v>56</v>
      </c>
      <c r="C3930" s="3" t="str">
        <f>"TFC000003673"</f>
        <v>TFC000003673</v>
      </c>
      <c r="D3930" s="3" t="str">
        <f>"F800-21-0893-(AR 5.5)"</f>
        <v>F800-21-0893-(AR 5.5)</v>
      </c>
      <c r="E3930" s="3" t="str">
        <f>"(The)hive queen. 12"</f>
        <v>(The)hive queen. 12</v>
      </c>
      <c r="F3930" s="3" t="str">
        <f>"by Tui T. Sutherland"</f>
        <v>by Tui T. Sutherland</v>
      </c>
      <c r="G3930" s="3" t="str">
        <f>"Scholastic"</f>
        <v>Scholastic</v>
      </c>
      <c r="H3930" s="2" t="str">
        <f>"2019"</f>
        <v>2019</v>
      </c>
      <c r="I3930" s="3" t="str">
        <f>""</f>
        <v/>
      </c>
    </row>
    <row r="3931" spans="1:9" x14ac:dyDescent="0.3">
      <c r="A3931" s="2">
        <v>3930</v>
      </c>
      <c r="B3931" s="4" t="s">
        <v>56</v>
      </c>
      <c r="C3931" s="3" t="str">
        <f>"TFC000004239"</f>
        <v>TFC000004239</v>
      </c>
      <c r="D3931" s="3" t="str">
        <f>"F800-22-0077-(AR 5.5)=2"</f>
        <v>F800-22-0077-(AR 5.5)=2</v>
      </c>
      <c r="E3931" s="3" t="str">
        <f>"Harry Potter and the sorcerer's stone"</f>
        <v>Harry Potter and the sorcerer's stone</v>
      </c>
      <c r="F3931" s="3" t="str">
        <f>"by J. K. Rowling, illustrations by Mary Grandpre"</f>
        <v>by J. K. Rowling, illustrations by Mary Grandpre</v>
      </c>
      <c r="G3931" s="3" t="str">
        <f>"Scholastic"</f>
        <v>Scholastic</v>
      </c>
      <c r="H3931" s="2" t="str">
        <f>"1999"</f>
        <v>1999</v>
      </c>
      <c r="I3931" s="3" t="str">
        <f>""</f>
        <v/>
      </c>
    </row>
    <row r="3932" spans="1:9" x14ac:dyDescent="0.3">
      <c r="A3932" s="2">
        <v>3931</v>
      </c>
      <c r="B3932" s="4" t="s">
        <v>56</v>
      </c>
      <c r="C3932" s="3" t="str">
        <f>"TFC000004825"</f>
        <v>TFC000004825</v>
      </c>
      <c r="D3932" s="3" t="str">
        <f>"F800-22-0562-(AR 5.5)"</f>
        <v>F800-22-0562-(AR 5.5)</v>
      </c>
      <c r="E3932" s="3" t="str">
        <f>"(The)Tower of Nero"</f>
        <v>(The)Tower of Nero</v>
      </c>
      <c r="F3932" s="3" t="str">
        <f>"by Rick Riordan"</f>
        <v>by Rick Riordan</v>
      </c>
      <c r="G3932" s="3" t="str">
        <f>"Disney-Hyperion"</f>
        <v>Disney-Hyperion</v>
      </c>
      <c r="H3932" s="2" t="str">
        <f>"2020"</f>
        <v>2020</v>
      </c>
      <c r="I3932" s="3" t="str">
        <f>""</f>
        <v/>
      </c>
    </row>
    <row r="3933" spans="1:9" x14ac:dyDescent="0.3">
      <c r="A3933" s="2">
        <v>3932</v>
      </c>
      <c r="B3933" s="4" t="s">
        <v>56</v>
      </c>
      <c r="C3933" s="3" t="str">
        <f>"TFC000004515"</f>
        <v>TFC000004515</v>
      </c>
      <c r="D3933" s="3" t="str">
        <f>"F500-22-0324-(AR5.5)"</f>
        <v>F500-22-0324-(AR5.5)</v>
      </c>
      <c r="E3933" s="3" t="str">
        <f>"Popcorn Country : The Story of America's Favorite Snack"</f>
        <v>Popcorn Country : The Story of America's Favorite Snack</v>
      </c>
      <c r="F3933" s="3" t="str">
        <f>"by Cris Peterson, photographs by David R. Lundquist"</f>
        <v>by Cris Peterson, photographs by David R. Lundquist</v>
      </c>
      <c r="G3933" s="3" t="str">
        <f>"Boyds Mills Press"</f>
        <v>Boyds Mills Press</v>
      </c>
      <c r="H3933" s="2" t="str">
        <f>"2019"</f>
        <v>2019</v>
      </c>
      <c r="I3933" s="3" t="str">
        <f>""</f>
        <v/>
      </c>
    </row>
    <row r="3934" spans="1:9" x14ac:dyDescent="0.3">
      <c r="A3934" s="2">
        <v>3933</v>
      </c>
      <c r="B3934" s="4" t="s">
        <v>56</v>
      </c>
      <c r="C3934" s="3" t="str">
        <f>"TFC000004627"</f>
        <v>TFC000004627</v>
      </c>
      <c r="D3934" s="3" t="str">
        <f>"F800-22-0436-(AR5.5)"</f>
        <v>F800-22-0436-(AR5.5)</v>
      </c>
      <c r="E3934" s="3" t="str">
        <f>"Chlorine Sky"</f>
        <v>Chlorine Sky</v>
      </c>
      <c r="F3934" s="3" t="str">
        <f>"by Mahogany L. Browne"</f>
        <v>by Mahogany L. Browne</v>
      </c>
      <c r="G3934" s="3" t="str">
        <f>"Crown Books for Young Readers"</f>
        <v>Crown Books for Young Readers</v>
      </c>
      <c r="H3934" s="2" t="str">
        <f>"2021"</f>
        <v>2021</v>
      </c>
      <c r="I3934" s="3" t="str">
        <f>""</f>
        <v/>
      </c>
    </row>
    <row r="3935" spans="1:9" x14ac:dyDescent="0.3">
      <c r="A3935" s="2">
        <v>3934</v>
      </c>
      <c r="B3935" s="4">
        <v>5.5</v>
      </c>
      <c r="C3935" s="3" t="str">
        <f>"TFC000004102"</f>
        <v>TFC000004102</v>
      </c>
      <c r="D3935" s="3" t="str">
        <f>"F800-21-0894-14(AR 5.5)"</f>
        <v>F800-21-0894-14(AR 5.5)</v>
      </c>
      <c r="E3935" s="3" t="str">
        <f>"Diary of a wimpy kid. 14, Wrecking ball"</f>
        <v>Diary of a wimpy kid. 14, Wrecking ball</v>
      </c>
      <c r="F3935" s="3" t="str">
        <f>"by Jeff Kinney"</f>
        <v>by Jeff Kinney</v>
      </c>
      <c r="G3935" s="3" t="str">
        <f>"Amulet Books"</f>
        <v>Amulet Books</v>
      </c>
      <c r="H3935" s="2" t="str">
        <f>"2019"</f>
        <v>2019</v>
      </c>
      <c r="I3935" s="3" t="str">
        <f>""</f>
        <v/>
      </c>
    </row>
    <row r="3936" spans="1:9" x14ac:dyDescent="0.3">
      <c r="A3936" s="2">
        <v>3935</v>
      </c>
      <c r="B3936" s="4" t="s">
        <v>57</v>
      </c>
      <c r="C3936" s="3" t="str">
        <f>"TFC000002597"</f>
        <v>TFC000002597</v>
      </c>
      <c r="D3936" s="3" t="str">
        <f>"F300-20-2921-(AR 5.6)"</f>
        <v>F300-20-2921-(AR 5.6)</v>
      </c>
      <c r="E3936" s="3" t="str">
        <f>"I will always write back : how one letter changed two lives"</f>
        <v>I will always write back : how one letter changed two lives</v>
      </c>
      <c r="F3936" s="3" t="str">
        <f>"Caitlin Alifirenka, Martin Ganda, Liz Welch"</f>
        <v>Caitlin Alifirenka, Martin Ganda, Liz Welch</v>
      </c>
      <c r="G3936" s="3" t="str">
        <f>"Little, Brown and Company"</f>
        <v>Little, Brown and Company</v>
      </c>
      <c r="H3936" s="2" t="str">
        <f>"2016"</f>
        <v>2016</v>
      </c>
      <c r="I3936" s="3" t="str">
        <f>""</f>
        <v/>
      </c>
    </row>
    <row r="3937" spans="1:9" x14ac:dyDescent="0.3">
      <c r="A3937" s="2">
        <v>3936</v>
      </c>
      <c r="B3937" s="4" t="s">
        <v>57</v>
      </c>
      <c r="C3937" s="3" t="str">
        <f>"TFC000002599"</f>
        <v>TFC000002599</v>
      </c>
      <c r="D3937" s="3" t="str">
        <f>"F800-20-2923-(AR 5.6)"</f>
        <v>F800-20-2923-(AR 5.6)</v>
      </c>
      <c r="E3937" s="3" t="str">
        <f>"Mr. Popper's penguins"</f>
        <v>Mr. Popper's penguins</v>
      </c>
      <c r="F3937" s="3" t="str">
        <f>"by Richard Atwater, Florence Atwater ; illustrated by Robert Lawson"</f>
        <v>by Richard Atwater, Florence Atwater ; illustrated by Robert Lawson</v>
      </c>
      <c r="G3937" s="3" t="str">
        <f>"Little, Brown and Company"</f>
        <v>Little, Brown and Company</v>
      </c>
      <c r="H3937" s="2" t="str">
        <f>"2018"</f>
        <v>2018</v>
      </c>
      <c r="I3937" s="3" t="str">
        <f>""</f>
        <v/>
      </c>
    </row>
    <row r="3938" spans="1:9" x14ac:dyDescent="0.3">
      <c r="A3938" s="2">
        <v>3937</v>
      </c>
      <c r="B3938" s="4" t="s">
        <v>57</v>
      </c>
      <c r="C3938" s="3" t="str">
        <f>"TFC000002600"</f>
        <v>TFC000002600</v>
      </c>
      <c r="D3938" s="3" t="str">
        <f>"F800-20-2924-(AR 5.6)"</f>
        <v>F800-20-2924-(AR 5.6)</v>
      </c>
      <c r="E3938" s="3" t="str">
        <f>"Ramona quimby, age 8"</f>
        <v>Ramona quimby, age 8</v>
      </c>
      <c r="F3938" s="3" t="str">
        <f>"Beverly Cleary ; illustrated by Jacqueline Rogers"</f>
        <v>Beverly Cleary ; illustrated by Jacqueline Rogers</v>
      </c>
      <c r="G3938" s="3" t="str">
        <f>"Harper"</f>
        <v>Harper</v>
      </c>
      <c r="H3938" s="2" t="str">
        <f>"2016"</f>
        <v>2016</v>
      </c>
      <c r="I3938" s="3" t="str">
        <f>""</f>
        <v/>
      </c>
    </row>
    <row r="3939" spans="1:9" x14ac:dyDescent="0.3">
      <c r="A3939" s="2">
        <v>3938</v>
      </c>
      <c r="B3939" s="4" t="s">
        <v>57</v>
      </c>
      <c r="C3939" s="3" t="str">
        <f>"TFC000002601"</f>
        <v>TFC000002601</v>
      </c>
      <c r="D3939" s="3" t="str">
        <f>"F800-20-2925-(AR 5.6)"</f>
        <v>F800-20-2925-(AR 5.6)</v>
      </c>
      <c r="E3939" s="3" t="str">
        <f>"Dominic"</f>
        <v>Dominic</v>
      </c>
      <c r="F3939" s="3" t="str">
        <f>"story and pictures by William Steig"</f>
        <v>story and pictures by William Steig</v>
      </c>
      <c r="G3939" s="3" t="str">
        <f>"Square Fish"</f>
        <v>Square Fish</v>
      </c>
      <c r="H3939" s="2" t="str">
        <f>"1972"</f>
        <v>1972</v>
      </c>
      <c r="I3939" s="3" t="str">
        <f>""</f>
        <v/>
      </c>
    </row>
    <row r="3940" spans="1:9" x14ac:dyDescent="0.3">
      <c r="A3940" s="2">
        <v>3939</v>
      </c>
      <c r="B3940" s="4" t="s">
        <v>57</v>
      </c>
      <c r="C3940" s="3" t="str">
        <f>"TFC000002602"</f>
        <v>TFC000002602</v>
      </c>
      <c r="D3940" s="3" t="str">
        <f>"F800-20-2926-(AR 5.6)"</f>
        <v>F800-20-2926-(AR 5.6)</v>
      </c>
      <c r="E3940" s="3" t="str">
        <f>"Redwoods"</f>
        <v>Redwoods</v>
      </c>
      <c r="F3940" s="3" t="str">
        <f>"Jason Chin"</f>
        <v>Jason Chin</v>
      </c>
      <c r="G3940" s="3" t="str">
        <f>"Flashpoint/Roaring Brook Press"</f>
        <v>Flashpoint/Roaring Brook Press</v>
      </c>
      <c r="H3940" s="2" t="str">
        <f>"2009"</f>
        <v>2009</v>
      </c>
      <c r="I3940" s="3" t="str">
        <f>""</f>
        <v/>
      </c>
    </row>
    <row r="3941" spans="1:9" x14ac:dyDescent="0.3">
      <c r="A3941" s="2">
        <v>3940</v>
      </c>
      <c r="B3941" s="4" t="s">
        <v>57</v>
      </c>
      <c r="C3941" s="3" t="str">
        <f>"TFC000002603"</f>
        <v>TFC000002603</v>
      </c>
      <c r="D3941" s="3" t="str">
        <f>"F800-20-2927-(AR 5.6)"</f>
        <v>F800-20-2927-(AR 5.6)</v>
      </c>
      <c r="E3941" s="3" t="str">
        <f>"What was Ellis Island?"</f>
        <v>What was Ellis Island?</v>
      </c>
      <c r="F3941" s="3" t="str">
        <f>"by Patricia Brennan Demuth ; illustrated by David Groff"</f>
        <v>by Patricia Brennan Demuth ; illustrated by David Groff</v>
      </c>
      <c r="G3941" s="3" t="str">
        <f>"Penguin Workshop"</f>
        <v>Penguin Workshop</v>
      </c>
      <c r="H3941" s="2" t="str">
        <f>"2014"</f>
        <v>2014</v>
      </c>
      <c r="I3941" s="3" t="str">
        <f>""</f>
        <v/>
      </c>
    </row>
    <row r="3942" spans="1:9" x14ac:dyDescent="0.3">
      <c r="A3942" s="2">
        <v>3941</v>
      </c>
      <c r="B3942" s="4" t="s">
        <v>57</v>
      </c>
      <c r="C3942" s="3" t="str">
        <f>"TFC000002604"</f>
        <v>TFC000002604</v>
      </c>
      <c r="D3942" s="3" t="str">
        <f>"F800-20-2928-(AR 5.6)"</f>
        <v>F800-20-2928-(AR 5.6)</v>
      </c>
      <c r="E3942" s="3" t="str">
        <f>"My Father's Dragon"</f>
        <v>My Father's Dragon</v>
      </c>
      <c r="F3942" s="3" t="str">
        <f>"Ruth Stiles Gannett ; illustrated by Ruth Chrisman Gannett"</f>
        <v>Ruth Stiles Gannett ; illustrated by Ruth Chrisman Gannett</v>
      </c>
      <c r="G3942" s="3" t="str">
        <f>"Yearling Books"</f>
        <v>Yearling Books</v>
      </c>
      <c r="H3942" s="2" t="str">
        <f>"2006"</f>
        <v>2006</v>
      </c>
      <c r="I3942" s="3" t="str">
        <f>""</f>
        <v/>
      </c>
    </row>
    <row r="3943" spans="1:9" x14ac:dyDescent="0.3">
      <c r="A3943" s="2">
        <v>3942</v>
      </c>
      <c r="B3943" s="4" t="s">
        <v>57</v>
      </c>
      <c r="C3943" s="3" t="str">
        <f>"TFC000002605"</f>
        <v>TFC000002605</v>
      </c>
      <c r="D3943" s="3" t="str">
        <f>"F800-20-2929-(AR 5.6)"</f>
        <v>F800-20-2929-(AR 5.6)</v>
      </c>
      <c r="E3943" s="3" t="str">
        <f>"Am I the princess or the frog?"</f>
        <v>Am I the princess or the frog?</v>
      </c>
      <c r="F3943" s="3" t="str">
        <f>"by Jamie Kelly"</f>
        <v>by Jamie Kelly</v>
      </c>
      <c r="G3943" s="3" t="str">
        <f>"Scholastic"</f>
        <v>Scholastic</v>
      </c>
      <c r="H3943" s="2" t="str">
        <f>"2005"</f>
        <v>2005</v>
      </c>
      <c r="I3943" s="3" t="str">
        <f>""</f>
        <v/>
      </c>
    </row>
    <row r="3944" spans="1:9" x14ac:dyDescent="0.3">
      <c r="A3944" s="2">
        <v>3943</v>
      </c>
      <c r="B3944" s="4" t="s">
        <v>57</v>
      </c>
      <c r="C3944" s="3" t="str">
        <f>"TFC000002606"</f>
        <v>TFC000002606</v>
      </c>
      <c r="D3944" s="3" t="str">
        <f>"F800-20-2930-(AR 5.6)"</f>
        <v>F800-20-2930-(AR 5.6)</v>
      </c>
      <c r="E3944" s="3" t="str">
        <f>"Over my dead body"</f>
        <v>Over my dead body</v>
      </c>
      <c r="F3944" s="3" t="str">
        <f>"Kate Klise ; illustrated by M. Sarah Klise"</f>
        <v>Kate Klise ; illustrated by M. Sarah Klise</v>
      </c>
      <c r="G3944" s="3" t="str">
        <f>"Sandpiper:Houghton Mifflin"</f>
        <v>Sandpiper:Houghton Mifflin</v>
      </c>
      <c r="H3944" s="2" t="str">
        <f>"2009"</f>
        <v>2009</v>
      </c>
      <c r="I3944" s="3" t="str">
        <f>""</f>
        <v/>
      </c>
    </row>
    <row r="3945" spans="1:9" x14ac:dyDescent="0.3">
      <c r="A3945" s="2">
        <v>3944</v>
      </c>
      <c r="B3945" s="4" t="s">
        <v>57</v>
      </c>
      <c r="C3945" s="3" t="str">
        <f>"TFC000002607"</f>
        <v>TFC000002607</v>
      </c>
      <c r="D3945" s="3" t="str">
        <f>"F800-20-2931-(AR 5.6)"</f>
        <v>F800-20-2931-(AR 5.6)</v>
      </c>
      <c r="E3945" s="3" t="str">
        <f>"Hewitt Anderson's great big life"</f>
        <v>Hewitt Anderson's great big life</v>
      </c>
      <c r="F3945" s="3" t="str">
        <f>"by Jerdine Nolen ; illustrated by Kadir Nelson"</f>
        <v>by Jerdine Nolen ; illustrated by Kadir Nelson</v>
      </c>
      <c r="G3945" s="3" t="str">
        <f>"Simon &amp; Schuster"</f>
        <v>Simon &amp; Schuster</v>
      </c>
      <c r="H3945" s="2" t="str">
        <f>"2005"</f>
        <v>2005</v>
      </c>
      <c r="I3945" s="3" t="str">
        <f>""</f>
        <v/>
      </c>
    </row>
    <row r="3946" spans="1:9" x14ac:dyDescent="0.3">
      <c r="A3946" s="2">
        <v>3945</v>
      </c>
      <c r="B3946" s="4" t="s">
        <v>57</v>
      </c>
      <c r="C3946" s="3" t="str">
        <f>"TFC000002608"</f>
        <v>TFC000002608</v>
      </c>
      <c r="D3946" s="3" t="str">
        <f>"F800-20-2932-(AR 5.6)"</f>
        <v>F800-20-2932-(AR 5.6)</v>
      </c>
      <c r="E3946" s="3" t="str">
        <f>"Eragon"</f>
        <v>Eragon</v>
      </c>
      <c r="F3946" s="3" t="str">
        <f>"Christopher Paolini"</f>
        <v>Christopher Paolini</v>
      </c>
      <c r="G3946" s="3" t="str">
        <f>"Alfred A. Knopf"</f>
        <v>Alfred A. Knopf</v>
      </c>
      <c r="H3946" s="2" t="str">
        <f>"2003"</f>
        <v>2003</v>
      </c>
      <c r="I3946" s="3" t="str">
        <f>""</f>
        <v/>
      </c>
    </row>
    <row r="3947" spans="1:9" x14ac:dyDescent="0.3">
      <c r="A3947" s="2">
        <v>3946</v>
      </c>
      <c r="B3947" s="4" t="s">
        <v>57</v>
      </c>
      <c r="C3947" s="3" t="str">
        <f>"TFC000002609"</f>
        <v>TFC000002609</v>
      </c>
      <c r="D3947" s="3" t="str">
        <f>"F800-20-2933-(AR 5.6)"</f>
        <v>F800-20-2933-(AR 5.6)</v>
      </c>
      <c r="E3947" s="3" t="str">
        <f>"(The)mostly true adventures of Homer P. Figg"</f>
        <v>(The)mostly true adventures of Homer P. Figg</v>
      </c>
      <c r="F3947" s="3" t="str">
        <f>"Rodman Philbrick"</f>
        <v>Rodman Philbrick</v>
      </c>
      <c r="G3947" s="3" t="str">
        <f>"Scholastic"</f>
        <v>Scholastic</v>
      </c>
      <c r="H3947" s="2" t="str">
        <f>"2019"</f>
        <v>2019</v>
      </c>
      <c r="I3947" s="3" t="str">
        <f>""</f>
        <v/>
      </c>
    </row>
    <row r="3948" spans="1:9" x14ac:dyDescent="0.3">
      <c r="A3948" s="2">
        <v>3947</v>
      </c>
      <c r="B3948" s="4" t="s">
        <v>57</v>
      </c>
      <c r="C3948" s="3" t="str">
        <f>"TFC000002611"</f>
        <v>TFC000002611</v>
      </c>
      <c r="D3948" s="3" t="str">
        <f>"F900-20-2938-(AR 5.6)"</f>
        <v>F900-20-2938-(AR 5.6)</v>
      </c>
      <c r="E3948" s="3" t="str">
        <f>"Roanoke : the lost colony : an unsolved mystery from history"</f>
        <v>Roanoke : the lost colony : an unsolved mystery from history</v>
      </c>
      <c r="F3948" s="3" t="str">
        <f>"by Jane Yolen, Heidi Elisabet Yolen Stemple ; illustrated by Roger Roth"</f>
        <v>by Jane Yolen, Heidi Elisabet Yolen Stemple ; illustrated by Roger Roth</v>
      </c>
      <c r="G3948" s="3" t="str">
        <f>"Simon &amp; Schuster Books for Young Readers"</f>
        <v>Simon &amp; Schuster Books for Young Readers</v>
      </c>
      <c r="H3948" s="2" t="str">
        <f>"2003"</f>
        <v>2003</v>
      </c>
      <c r="I3948" s="3" t="str">
        <f>""</f>
        <v/>
      </c>
    </row>
    <row r="3949" spans="1:9" x14ac:dyDescent="0.3">
      <c r="A3949" s="2">
        <v>3948</v>
      </c>
      <c r="B3949" s="4" t="s">
        <v>57</v>
      </c>
      <c r="C3949" s="3" t="str">
        <f>"TFC000002612"</f>
        <v>TFC000002612</v>
      </c>
      <c r="D3949" s="3" t="str">
        <f>"F900-20-2939-(AR 5.6)"</f>
        <v>F900-20-2939-(AR 5.6)</v>
      </c>
      <c r="E3949" s="3" t="str">
        <f>"Miss Moore thought otherwise : how Anne Carroll Moore created libraries for children"</f>
        <v>Miss Moore thought otherwise : how Anne Carroll Moore created libraries for children</v>
      </c>
      <c r="F3949" s="3" t="str">
        <f>"written by Jan Pinborough ; illustrated by Debby Atwell"</f>
        <v>written by Jan Pinborough ; illustrated by Debby Atwell</v>
      </c>
      <c r="G3949" s="3" t="str">
        <f>"Houghton Mifflin Harcourt"</f>
        <v>Houghton Mifflin Harcourt</v>
      </c>
      <c r="H3949" s="2" t="str">
        <f>"2013"</f>
        <v>2013</v>
      </c>
      <c r="I3949" s="3" t="str">
        <f>""</f>
        <v/>
      </c>
    </row>
    <row r="3950" spans="1:9" x14ac:dyDescent="0.3">
      <c r="A3950" s="2">
        <v>3949</v>
      </c>
      <c r="B3950" s="4" t="s">
        <v>57</v>
      </c>
      <c r="C3950" s="3" t="str">
        <f>"TFC000002613"</f>
        <v>TFC000002613</v>
      </c>
      <c r="D3950" s="3" t="str">
        <f>"F900-20-2940-(AR 5.6)"</f>
        <v>F900-20-2940-(AR 5.6)</v>
      </c>
      <c r="E3950" s="3" t="str">
        <f>"Who was Betsy Ross?"</f>
        <v>Who was Betsy Ross?</v>
      </c>
      <c r="F3950" s="3" t="str">
        <f>"by James Buckley Jr. ; illustrated by John O'Brien"</f>
        <v>by James Buckley Jr. ; illustrated by John O'Brien</v>
      </c>
      <c r="G3950" s="3" t="str">
        <f>"Penguin Workshop"</f>
        <v>Penguin Workshop</v>
      </c>
      <c r="H3950" s="2" t="str">
        <f>"2014"</f>
        <v>2014</v>
      </c>
      <c r="I3950" s="3" t="str">
        <f>""</f>
        <v/>
      </c>
    </row>
    <row r="3951" spans="1:9" x14ac:dyDescent="0.3">
      <c r="A3951" s="2">
        <v>3950</v>
      </c>
      <c r="B3951" s="4" t="s">
        <v>57</v>
      </c>
      <c r="C3951" s="3" t="str">
        <f>"TFC000002614"</f>
        <v>TFC000002614</v>
      </c>
      <c r="D3951" s="3" t="str">
        <f>"F900-20-2941-(AR 5.6)"</f>
        <v>F900-20-2941-(AR 5.6)</v>
      </c>
      <c r="E3951" s="3" t="str">
        <f>"Shark lady : true adventures of Eugenie Clark"</f>
        <v>Shark lady : true adventures of Eugenie Clark</v>
      </c>
      <c r="F3951" s="3" t="str">
        <f>"by Ann McGovern ; illustrated by Ruth Chew"</f>
        <v>by Ann McGovern ; illustrated by Ruth Chew</v>
      </c>
      <c r="G3951" s="3" t="str">
        <f>"Scholastic"</f>
        <v>Scholastic</v>
      </c>
      <c r="H3951" s="2" t="str">
        <f>"1978"</f>
        <v>1978</v>
      </c>
      <c r="I3951" s="3" t="str">
        <f>""</f>
        <v/>
      </c>
    </row>
    <row r="3952" spans="1:9" x14ac:dyDescent="0.3">
      <c r="A3952" s="2">
        <v>3951</v>
      </c>
      <c r="B3952" s="4" t="s">
        <v>57</v>
      </c>
      <c r="C3952" s="3" t="str">
        <f>"TFC000002615"</f>
        <v>TFC000002615</v>
      </c>
      <c r="D3952" s="3" t="str">
        <f>"F900-20-2942-(AR 5.6)"</f>
        <v>F900-20-2942-(AR 5.6)</v>
      </c>
      <c r="E3952" s="3" t="str">
        <f>"Who was Frida Kahlo?"</f>
        <v>Who was Frida Kahlo?</v>
      </c>
      <c r="F3952" s="3" t="str">
        <f>"by Sarah Fabiny ; illustrated by Jerry Hoare"</f>
        <v>by Sarah Fabiny ; illustrated by Jerry Hoare</v>
      </c>
      <c r="G3952" s="3" t="str">
        <f>"Penguin Workshop"</f>
        <v>Penguin Workshop</v>
      </c>
      <c r="H3952" s="2" t="str">
        <f>"2015"</f>
        <v>2015</v>
      </c>
      <c r="I3952" s="3" t="str">
        <f>""</f>
        <v/>
      </c>
    </row>
    <row r="3953" spans="1:9" x14ac:dyDescent="0.3">
      <c r="A3953" s="2">
        <v>3952</v>
      </c>
      <c r="B3953" s="4" t="s">
        <v>57</v>
      </c>
      <c r="C3953" s="3" t="str">
        <f>"TFC000002616"</f>
        <v>TFC000002616</v>
      </c>
      <c r="D3953" s="3" t="str">
        <f>"F900-20-2943-(AR 5.6)"</f>
        <v>F900-20-2943-(AR 5.6)</v>
      </c>
      <c r="E3953" s="3" t="str">
        <f>"Wolfgang Amadeus Mozart"</f>
        <v>Wolfgang Amadeus Mozart</v>
      </c>
      <c r="F3953" s="3" t="str">
        <f>"written and illustrated by Mike Venezia"</f>
        <v>written and illustrated by Mike Venezia</v>
      </c>
      <c r="G3953" s="3" t="str">
        <f>"Children's Press"</f>
        <v>Children's Press</v>
      </c>
      <c r="H3953" s="2" t="str">
        <f>"2017"</f>
        <v>2017</v>
      </c>
      <c r="I3953" s="3" t="str">
        <f>""</f>
        <v/>
      </c>
    </row>
    <row r="3954" spans="1:9" x14ac:dyDescent="0.3">
      <c r="A3954" s="2">
        <v>3953</v>
      </c>
      <c r="B3954" s="4" t="s">
        <v>57</v>
      </c>
      <c r="C3954" s="3" t="str">
        <f>"TFC000002617"</f>
        <v>TFC000002617</v>
      </c>
      <c r="D3954" s="3" t="str">
        <f>"F900-20-2944-(AR 5.6)"</f>
        <v>F900-20-2944-(AR 5.6)</v>
      </c>
      <c r="E3954" s="3" t="str">
        <f>"Who is Pele?"</f>
        <v>Who is Pele?</v>
      </c>
      <c r="F3954" s="3" t="str">
        <f>"by James Buckley Jr. ; illustrated by Andrew Thomson"</f>
        <v>by James Buckley Jr. ; illustrated by Andrew Thomson</v>
      </c>
      <c r="G3954" s="3" t="str">
        <f>"Penguin Workshop"</f>
        <v>Penguin Workshop</v>
      </c>
      <c r="H3954" s="2" t="str">
        <f>"2018"</f>
        <v>2018</v>
      </c>
      <c r="I3954" s="3" t="str">
        <f>""</f>
        <v/>
      </c>
    </row>
    <row r="3955" spans="1:9" x14ac:dyDescent="0.3">
      <c r="A3955" s="2">
        <v>3954</v>
      </c>
      <c r="B3955" s="4" t="s">
        <v>57</v>
      </c>
      <c r="C3955" s="3" t="str">
        <f>"TFC000002618"</f>
        <v>TFC000002618</v>
      </c>
      <c r="D3955" s="3" t="str">
        <f>"F900-20-2945-(AR 5.6)"</f>
        <v>F900-20-2945-(AR 5.6)</v>
      </c>
      <c r="E3955" s="3" t="str">
        <f>"Who is J.K. Rowling?"</f>
        <v>Who is J.K. Rowling?</v>
      </c>
      <c r="F3955" s="3" t="str">
        <f>"by Pamela Pollack, Meg Belviso ; illustrated by Stephen Marchesi"</f>
        <v>by Pamela Pollack, Meg Belviso ; illustrated by Stephen Marchesi</v>
      </c>
      <c r="G3955" s="3" t="str">
        <f>"Grosset &amp; Dunlap"</f>
        <v>Grosset &amp; Dunlap</v>
      </c>
      <c r="H3955" s="2" t="str">
        <f>"2012"</f>
        <v>2012</v>
      </c>
      <c r="I3955" s="3" t="str">
        <f>""</f>
        <v/>
      </c>
    </row>
    <row r="3956" spans="1:9" x14ac:dyDescent="0.3">
      <c r="A3956" s="2">
        <v>3955</v>
      </c>
      <c r="B3956" s="4" t="s">
        <v>57</v>
      </c>
      <c r="C3956" s="3" t="str">
        <f>"TFC000003043"</f>
        <v>TFC000003043</v>
      </c>
      <c r="D3956" s="3" t="str">
        <f>"F800-20-2935-(AR 5.6)"</f>
        <v>F800-20-2935-(AR 5.6)</v>
      </c>
      <c r="E3956" s="3" t="str">
        <f>"(The)name of this book Is secret"</f>
        <v>(The)name of this book Is secret</v>
      </c>
      <c r="F3956" s="3" t="str">
        <f>"by Bosch Pseudonymous ; illustrations by Gilbert Ford"</f>
        <v>by Bosch Pseudonymous ; illustrations by Gilbert Ford</v>
      </c>
      <c r="G3956" s="3" t="str">
        <f>"Little, Brown and company"</f>
        <v>Little, Brown and company</v>
      </c>
      <c r="H3956" s="2" t="str">
        <f>"2008"</f>
        <v>2008</v>
      </c>
      <c r="I3956" s="3" t="str">
        <f>""</f>
        <v/>
      </c>
    </row>
    <row r="3957" spans="1:9" x14ac:dyDescent="0.3">
      <c r="A3957" s="2">
        <v>3956</v>
      </c>
      <c r="B3957" s="4" t="s">
        <v>57</v>
      </c>
      <c r="C3957" s="3" t="str">
        <f>"TFC000003054"</f>
        <v>TFC000003054</v>
      </c>
      <c r="D3957" s="3" t="str">
        <f>"F800-20-2936-(AR 5.6)"</f>
        <v>F800-20-2936-(AR 5.6)</v>
      </c>
      <c r="E3957" s="3" t="str">
        <f>"It's Trevor Noah : born a crime : stories from a South African childhood"</f>
        <v>It's Trevor Noah : born a crime : stories from a South African childhood</v>
      </c>
      <c r="F3957" s="3" t="str">
        <f>"Trevor Noah"</f>
        <v>Trevor Noah</v>
      </c>
      <c r="G3957" s="3" t="str">
        <f>"Delacorte Press"</f>
        <v>Delacorte Press</v>
      </c>
      <c r="H3957" s="2" t="str">
        <f>"2019"</f>
        <v>2019</v>
      </c>
      <c r="I3957" s="3" t="str">
        <f>""</f>
        <v/>
      </c>
    </row>
    <row r="3958" spans="1:9" x14ac:dyDescent="0.3">
      <c r="A3958" s="2">
        <v>3957</v>
      </c>
      <c r="B3958" s="4" t="s">
        <v>57</v>
      </c>
      <c r="C3958" s="3" t="str">
        <f>"TFC000003157"</f>
        <v>TFC000003157</v>
      </c>
      <c r="D3958" s="3" t="str">
        <f>"F800-20-2937-(AR 5.6)"</f>
        <v>F800-20-2937-(AR 5.6)</v>
      </c>
      <c r="E3958" s="3" t="str">
        <f>"Counting by 7s"</f>
        <v>Counting by 7s</v>
      </c>
      <c r="F3958" s="3" t="str">
        <f>"Holly Goldberg Sloan"</f>
        <v>Holly Goldberg Sloan</v>
      </c>
      <c r="G3958" s="3" t="str">
        <f>"Puffin Books"</f>
        <v>Puffin Books</v>
      </c>
      <c r="H3958" s="2" t="str">
        <f>"2014"</f>
        <v>2014</v>
      </c>
      <c r="I3958" s="3" t="str">
        <f>""</f>
        <v/>
      </c>
    </row>
    <row r="3959" spans="1:9" x14ac:dyDescent="0.3">
      <c r="A3959" s="2">
        <v>3958</v>
      </c>
      <c r="B3959" s="4" t="s">
        <v>57</v>
      </c>
      <c r="C3959" s="3" t="str">
        <f>"TFC000003505"</f>
        <v>TFC000003505</v>
      </c>
      <c r="D3959" s="3" t="str">
        <f>"F400-21-0895-(AR 5.6)"</f>
        <v>F400-21-0895-(AR 5.6)</v>
      </c>
      <c r="E3959" s="3" t="str">
        <f>"What if you had an animal tongue!?"</f>
        <v>What if you had an animal tongue!?</v>
      </c>
      <c r="F3959" s="3" t="str">
        <f>"by Sandra Markle, illustrated by Howard Mewilliam"</f>
        <v>by Sandra Markle, illustrated by Howard Mewilliam</v>
      </c>
      <c r="G3959" s="3" t="str">
        <f>"Scholastic"</f>
        <v>Scholastic</v>
      </c>
      <c r="H3959" s="2" t="str">
        <f>"2020"</f>
        <v>2020</v>
      </c>
      <c r="I3959" s="3" t="str">
        <f>""</f>
        <v/>
      </c>
    </row>
    <row r="3960" spans="1:9" x14ac:dyDescent="0.3">
      <c r="A3960" s="2">
        <v>3959</v>
      </c>
      <c r="B3960" s="4" t="s">
        <v>57</v>
      </c>
      <c r="C3960" s="3" t="str">
        <f>"TFC000003641"</f>
        <v>TFC000003641</v>
      </c>
      <c r="D3960" s="3" t="str">
        <f>"F800-21-0898-(AR 5.6)"</f>
        <v>F800-21-0898-(AR 5.6)</v>
      </c>
      <c r="E3960" s="3" t="str">
        <f>"Redwall : where legends are made"</f>
        <v>Redwall : where legends are made</v>
      </c>
      <c r="F3960" s="3" t="str">
        <f>"by Brian Jacques ; illustrated by Gary Chalk"</f>
        <v>by Brian Jacques ; illustrated by Gary Chalk</v>
      </c>
      <c r="G3960" s="3" t="str">
        <f>"Firebird"</f>
        <v>Firebird</v>
      </c>
      <c r="H3960" s="2" t="str">
        <f>"2002"</f>
        <v>2002</v>
      </c>
      <c r="I3960" s="3" t="str">
        <f>""</f>
        <v/>
      </c>
    </row>
    <row r="3961" spans="1:9" x14ac:dyDescent="0.3">
      <c r="A3961" s="2">
        <v>3960</v>
      </c>
      <c r="B3961" s="4" t="s">
        <v>57</v>
      </c>
      <c r="C3961" s="3" t="str">
        <f>"TFC000003642"</f>
        <v>TFC000003642</v>
      </c>
      <c r="D3961" s="3" t="str">
        <f>"F800-21-0899-(AR 5.6)"</f>
        <v>F800-21-0899-(AR 5.6)</v>
      </c>
      <c r="E3961" s="3" t="str">
        <f>"Artemis Fowl : the time paradox"</f>
        <v>Artemis Fowl : the time paradox</v>
      </c>
      <c r="F3961" s="3" t="str">
        <f>"by Eoin Colfer"</f>
        <v>by Eoin Colfer</v>
      </c>
      <c r="G3961" s="3" t="str">
        <f>"Thorndike Press"</f>
        <v>Thorndike Press</v>
      </c>
      <c r="H3961" s="2" t="str">
        <f>"2020"</f>
        <v>2020</v>
      </c>
      <c r="I3961" s="3" t="str">
        <f>""</f>
        <v/>
      </c>
    </row>
    <row r="3962" spans="1:9" x14ac:dyDescent="0.3">
      <c r="A3962" s="2">
        <v>3961</v>
      </c>
      <c r="B3962" s="4" t="s">
        <v>57</v>
      </c>
      <c r="C3962" s="3" t="str">
        <f>"TFC000003667"</f>
        <v>TFC000003667</v>
      </c>
      <c r="D3962" s="3" t="str">
        <f>"F800-21-0900-(AR 5.6)"</f>
        <v>F800-21-0900-(AR 5.6)</v>
      </c>
      <c r="E3962" s="3" t="str">
        <f>"Winter turning. 7"</f>
        <v>Winter turning. 7</v>
      </c>
      <c r="F3962" s="3" t="str">
        <f>"by Tui T. Sutherland"</f>
        <v>by Tui T. Sutherland</v>
      </c>
      <c r="G3962" s="3" t="str">
        <f>"Scholastic"</f>
        <v>Scholastic</v>
      </c>
      <c r="H3962" s="2" t="str">
        <f>"2015"</f>
        <v>2015</v>
      </c>
      <c r="I3962" s="3" t="str">
        <f>""</f>
        <v/>
      </c>
    </row>
    <row r="3963" spans="1:9" x14ac:dyDescent="0.3">
      <c r="A3963" s="2">
        <v>3962</v>
      </c>
      <c r="B3963" s="4" t="s">
        <v>57</v>
      </c>
      <c r="C3963" s="3" t="str">
        <f>"TFC000003830"</f>
        <v>TFC000003830</v>
      </c>
      <c r="D3963" s="3" t="str">
        <f>"F800-21-0901-(AR 5.6)"</f>
        <v>F800-21-0901-(AR 5.6)</v>
      </c>
      <c r="E3963" s="3" t="str">
        <f>"Percy Jackson's Greek Gods"</f>
        <v>Percy Jackson's Greek Gods</v>
      </c>
      <c r="F3963" s="3" t="str">
        <f>"by Rick Riordan, with a full-color insert of artwork by John Rocco"</f>
        <v>by Rick Riordan, with a full-color insert of artwork by John Rocco</v>
      </c>
      <c r="G3963" s="3" t="str">
        <f>"Disney·Hyperion"</f>
        <v>Disney·Hyperion</v>
      </c>
      <c r="H3963" s="2" t="str">
        <f>"2016"</f>
        <v>2016</v>
      </c>
      <c r="I3963" s="3" t="str">
        <f>""</f>
        <v/>
      </c>
    </row>
    <row r="3964" spans="1:9" x14ac:dyDescent="0.3">
      <c r="A3964" s="2">
        <v>3963</v>
      </c>
      <c r="B3964" s="4" t="s">
        <v>57</v>
      </c>
      <c r="C3964" s="3" t="str">
        <f>"TFC000004015"</f>
        <v>TFC000004015</v>
      </c>
      <c r="D3964" s="3" t="str">
        <f>"F800-21-0902-(AR 5.6)"</f>
        <v>F800-21-0902-(AR 5.6)</v>
      </c>
      <c r="E3964" s="3" t="str">
        <f>"Heartless"</f>
        <v>Heartless</v>
      </c>
      <c r="F3964" s="3" t="str">
        <f>"Marissa Meyer"</f>
        <v>Marissa Meyer</v>
      </c>
      <c r="G3964" s="3" t="str">
        <f>"Feiwel and Friends"</f>
        <v>Feiwel and Friends</v>
      </c>
      <c r="H3964" s="2" t="str">
        <f>"2016"</f>
        <v>2016</v>
      </c>
      <c r="I3964" s="3" t="str">
        <f>""</f>
        <v/>
      </c>
    </row>
    <row r="3965" spans="1:9" x14ac:dyDescent="0.3">
      <c r="A3965" s="2">
        <v>3964</v>
      </c>
      <c r="B3965" s="4" t="s">
        <v>57</v>
      </c>
      <c r="C3965" s="3" t="str">
        <f>"TFC000004108"</f>
        <v>TFC000004108</v>
      </c>
      <c r="D3965" s="3" t="str">
        <f>"F800-21-0904-(AR 5.6)"</f>
        <v>F800-21-0904-(AR 5.6)</v>
      </c>
      <c r="E3965" s="3" t="str">
        <f>"Strong as fire, fierce as flame"</f>
        <v>Strong as fire, fierce as flame</v>
      </c>
      <c r="F3965" s="3" t="str">
        <f>"by Supriya Kelkar"</f>
        <v>by Supriya Kelkar</v>
      </c>
      <c r="G3965" s="3" t="str">
        <f>"Tu Books"</f>
        <v>Tu Books</v>
      </c>
      <c r="H3965" s="2" t="str">
        <f>"2021"</f>
        <v>2021</v>
      </c>
      <c r="I3965" s="3" t="str">
        <f>""</f>
        <v/>
      </c>
    </row>
    <row r="3966" spans="1:9" x14ac:dyDescent="0.3">
      <c r="A3966" s="2">
        <v>3965</v>
      </c>
      <c r="B3966" s="4" t="s">
        <v>57</v>
      </c>
      <c r="C3966" s="3" t="str">
        <f>"TFC000004878"</f>
        <v>TFC000004878</v>
      </c>
      <c r="D3966" s="3" t="str">
        <f>"F800-22-0608-(AR 5.6)"</f>
        <v>F800-22-0608-(AR 5.6)</v>
      </c>
      <c r="E3966" s="3" t="str">
        <f>"Diary of a wimpy kid. 16, Big shot"</f>
        <v>Diary of a wimpy kid. 16, Big shot</v>
      </c>
      <c r="F3966" s="3" t="str">
        <f>"by Jeff Kinney"</f>
        <v>by Jeff Kinney</v>
      </c>
      <c r="G3966" s="3" t="str">
        <f>"Amulet Books"</f>
        <v>Amulet Books</v>
      </c>
      <c r="H3966" s="2" t="str">
        <f>"2016"</f>
        <v>2016</v>
      </c>
      <c r="I3966" s="3" t="str">
        <f>""</f>
        <v/>
      </c>
    </row>
    <row r="3967" spans="1:9" x14ac:dyDescent="0.3">
      <c r="A3967" s="2">
        <v>3966</v>
      </c>
      <c r="B3967" s="4" t="s">
        <v>57</v>
      </c>
      <c r="C3967" s="3" t="str">
        <f>"TFC000004887"</f>
        <v>TFC000004887</v>
      </c>
      <c r="D3967" s="3" t="str">
        <f>"F800-22-0617-(AR 5.6)"</f>
        <v>F800-22-0617-(AR 5.6)</v>
      </c>
      <c r="E3967" s="3" t="str">
        <f>"(The)Last bear"</f>
        <v>(The)Last bear</v>
      </c>
      <c r="F3967" s="3" t="str">
        <f>"by Hannah Gold, illustrated by Levi Pinfold"</f>
        <v>by Hannah Gold, illustrated by Levi Pinfold</v>
      </c>
      <c r="G3967" s="3" t="str">
        <f>"HarperCollins Publishers"</f>
        <v>HarperCollins Publishers</v>
      </c>
      <c r="H3967" s="2" t="str">
        <f>"2022"</f>
        <v>2022</v>
      </c>
      <c r="I3967" s="3" t="str">
        <f>""</f>
        <v/>
      </c>
    </row>
    <row r="3968" spans="1:9" x14ac:dyDescent="0.3">
      <c r="A3968" s="2">
        <v>3967</v>
      </c>
      <c r="B3968" s="4" t="s">
        <v>57</v>
      </c>
      <c r="C3968" s="3" t="str">
        <f>"TFC000004628"</f>
        <v>TFC000004628</v>
      </c>
      <c r="D3968" s="3" t="str">
        <f>"F800-22-0437-(AR5.6)"</f>
        <v>F800-22-0437-(AR5.6)</v>
      </c>
      <c r="E3968" s="3" t="str">
        <f>"(The)Bird and the Blade"</f>
        <v>(The)Bird and the Blade</v>
      </c>
      <c r="F3968" s="3" t="str">
        <f>"by Megan Bannen"</f>
        <v>by Megan Bannen</v>
      </c>
      <c r="G3968" s="3" t="str">
        <f>"Ba;zer &amp; Bray"</f>
        <v>Ba;zer &amp; Bray</v>
      </c>
      <c r="H3968" s="2" t="str">
        <f>"2018"</f>
        <v>2018</v>
      </c>
      <c r="I3968" s="3" t="str">
        <f>""</f>
        <v/>
      </c>
    </row>
    <row r="3969" spans="1:9" x14ac:dyDescent="0.3">
      <c r="A3969" s="2">
        <v>3968</v>
      </c>
      <c r="B3969" s="4" t="s">
        <v>57</v>
      </c>
      <c r="C3969" s="3" t="str">
        <f>"TFC000004582"</f>
        <v>TFC000004582</v>
      </c>
      <c r="D3969" s="3" t="str">
        <f>"F800-22-0391-(AR5.6)"</f>
        <v>F800-22-0391-(AR5.6)</v>
      </c>
      <c r="E3969" s="3" t="str">
        <f>"(The)Flames of Hope. 15"</f>
        <v>(The)Flames of Hope. 15</v>
      </c>
      <c r="F3969" s="3" t="str">
        <f>"by Tui T. Sutherland"</f>
        <v>by Tui T. Sutherland</v>
      </c>
      <c r="G3969" s="3" t="str">
        <f>"Scholastic"</f>
        <v>Scholastic</v>
      </c>
      <c r="H3969" s="2" t="str">
        <f>"2022"</f>
        <v>2022</v>
      </c>
      <c r="I3969" s="3" t="str">
        <f>""</f>
        <v/>
      </c>
    </row>
    <row r="3970" spans="1:9" x14ac:dyDescent="0.3">
      <c r="A3970" s="2">
        <v>3969</v>
      </c>
      <c r="B3970" s="4" t="s">
        <v>57</v>
      </c>
      <c r="C3970" s="3" t="str">
        <f>"TFC000004583"</f>
        <v>TFC000004583</v>
      </c>
      <c r="D3970" s="3" t="str">
        <f>"F500-22-0392-(AR5.6)"</f>
        <v>F500-22-0392-(AR5.6)</v>
      </c>
      <c r="E3970" s="3" t="str">
        <f>"(The)Great Stink : how Joseph Bazalgette solved London's poop pollution problem"</f>
        <v>(The)Great Stink : how Joseph Bazalgette solved London's poop pollution problem</v>
      </c>
      <c r="F3970" s="3" t="str">
        <f>"by Colleen Paeff"</f>
        <v>by Colleen Paeff</v>
      </c>
      <c r="G3970" s="3" t="str">
        <f>"Margaret K. McElderry Books"</f>
        <v>Margaret K. McElderry Books</v>
      </c>
      <c r="H3970" s="2" t="str">
        <f>"2021"</f>
        <v>2021</v>
      </c>
      <c r="I3970" s="3" t="str">
        <f>""</f>
        <v/>
      </c>
    </row>
    <row r="3971" spans="1:9" x14ac:dyDescent="0.3">
      <c r="A3971" s="2">
        <v>3970</v>
      </c>
      <c r="B3971" s="4" t="s">
        <v>57</v>
      </c>
      <c r="C3971" s="3" t="str">
        <f>"TFC000004584"</f>
        <v>TFC000004584</v>
      </c>
      <c r="D3971" s="3" t="str">
        <f>"F800-22-0393-(AR5.6)"</f>
        <v>F800-22-0393-(AR5.6)</v>
      </c>
      <c r="E3971" s="3" t="str">
        <f>"It's the End of the World and I'm in My Bathing Suit"</f>
        <v>It's the End of the World and I'm in My Bathing Suit</v>
      </c>
      <c r="F3971" s="3" t="str">
        <f>"by Justin A. Reynolds"</f>
        <v>by Justin A. Reynolds</v>
      </c>
      <c r="G3971" s="3" t="str">
        <f>"Scholastic Press"</f>
        <v>Scholastic Press</v>
      </c>
      <c r="H3971" s="2" t="str">
        <f>"2022"</f>
        <v>2022</v>
      </c>
      <c r="I3971" s="3" t="str">
        <f>""</f>
        <v/>
      </c>
    </row>
    <row r="3972" spans="1:9" x14ac:dyDescent="0.3">
      <c r="A3972" s="2">
        <v>3971</v>
      </c>
      <c r="B3972" s="4" t="s">
        <v>57</v>
      </c>
      <c r="C3972" s="3" t="str">
        <f>"TFC000004585"</f>
        <v>TFC000004585</v>
      </c>
      <c r="D3972" s="3" t="str">
        <f>"F800-22-0394-(AR5.6)"</f>
        <v>F800-22-0394-(AR5.6)</v>
      </c>
      <c r="E3972" s="3" t="str">
        <f>"Terror in the Tower of London"</f>
        <v>Terror in the Tower of London</v>
      </c>
      <c r="F3972" s="3" t="str">
        <f>"by W. N. Brown, Michael Burgan, James Buckley"</f>
        <v>by W. N. Brown, Michael Burgan, James Buckley</v>
      </c>
      <c r="G3972" s="3" t="str">
        <f>"HarperCollins"</f>
        <v>HarperCollins</v>
      </c>
      <c r="H3972" s="2" t="str">
        <f>"2021"</f>
        <v>2021</v>
      </c>
      <c r="I3972" s="3" t="str">
        <f>""</f>
        <v/>
      </c>
    </row>
    <row r="3973" spans="1:9" x14ac:dyDescent="0.3">
      <c r="A3973" s="2">
        <v>3972</v>
      </c>
      <c r="B3973" s="4" t="s">
        <v>57</v>
      </c>
      <c r="C3973" s="3" t="str">
        <f>"TFC000004629"</f>
        <v>TFC000004629</v>
      </c>
      <c r="D3973" s="3" t="str">
        <f>"F800-22-0438-(AR5.6)"</f>
        <v>F800-22-0438-(AR5.6)</v>
      </c>
      <c r="E3973" s="3" t="str">
        <f>"Bruised"</f>
        <v>Bruised</v>
      </c>
      <c r="F3973" s="3" t="str">
        <f>"by Tanya Boteju"</f>
        <v>by Tanya Boteju</v>
      </c>
      <c r="G3973" s="3" t="str">
        <f>"Simon &amp; Schuster Books for Young Readers"</f>
        <v>Simon &amp; Schuster Books for Young Readers</v>
      </c>
      <c r="H3973" s="2" t="str">
        <f>"2021"</f>
        <v>2021</v>
      </c>
      <c r="I3973" s="3" t="str">
        <f>""</f>
        <v/>
      </c>
    </row>
    <row r="3974" spans="1:9" x14ac:dyDescent="0.3">
      <c r="A3974" s="2">
        <v>3973</v>
      </c>
      <c r="B3974" s="4" t="s">
        <v>58</v>
      </c>
      <c r="C3974" s="3" t="str">
        <f>"TFC000002619"</f>
        <v>TFC000002619</v>
      </c>
      <c r="D3974" s="3" t="str">
        <f>"F300-20-2946-(AR 5.7)"</f>
        <v>F300-20-2946-(AR 5.7)</v>
      </c>
      <c r="E3974" s="3" t="str">
        <f>"Ugly"</f>
        <v>Ugly</v>
      </c>
      <c r="F3974" s="3" t="str">
        <f>"Robert Hoge ; illustrated by Keith Robinson"</f>
        <v>Robert Hoge ; illustrated by Keith Robinson</v>
      </c>
      <c r="G3974" s="3" t="str">
        <f>"Puffin Books"</f>
        <v>Puffin Books</v>
      </c>
      <c r="H3974" s="2" t="str">
        <f>"2017"</f>
        <v>2017</v>
      </c>
      <c r="I3974" s="3" t="str">
        <f>""</f>
        <v/>
      </c>
    </row>
    <row r="3975" spans="1:9" x14ac:dyDescent="0.3">
      <c r="A3975" s="2">
        <v>3974</v>
      </c>
      <c r="B3975" s="4" t="s">
        <v>58</v>
      </c>
      <c r="C3975" s="3" t="str">
        <f>"TFC000002620"</f>
        <v>TFC000002620</v>
      </c>
      <c r="D3975" s="3" t="str">
        <f>"F400-20-2947-(AR 5.7)"</f>
        <v>F400-20-2947-(AR 5.7)</v>
      </c>
      <c r="E3975" s="3" t="str">
        <f>"Penguins"</f>
        <v>Penguins</v>
      </c>
      <c r="F3975" s="3" t="str">
        <f>"Seymour Simon"</f>
        <v>Seymour Simon</v>
      </c>
      <c r="G3975" s="3" t="str">
        <f>"Harper"</f>
        <v>Harper</v>
      </c>
      <c r="H3975" s="2" t="str">
        <f>"2007"</f>
        <v>2007</v>
      </c>
      <c r="I3975" s="3" t="str">
        <f>""</f>
        <v/>
      </c>
    </row>
    <row r="3976" spans="1:9" x14ac:dyDescent="0.3">
      <c r="A3976" s="2">
        <v>3975</v>
      </c>
      <c r="B3976" s="4" t="s">
        <v>58</v>
      </c>
      <c r="C3976" s="3" t="str">
        <f>"TFC000002622"</f>
        <v>TFC000002622</v>
      </c>
      <c r="D3976" s="3" t="str">
        <f>"F800-20-2949-(AR 5.7)"</f>
        <v>F800-20-2949-(AR 5.7)</v>
      </c>
      <c r="E3976" s="3" t="str">
        <f>"(The)lion, the witch, and the wardrobe"</f>
        <v>(The)lion, the witch, and the wardrobe</v>
      </c>
      <c r="F3976" s="3" t="str">
        <f>"by C.S. Lewis ; illustrated by Pauline Baynes"</f>
        <v>by C.S. Lewis ; illustrated by Pauline Baynes</v>
      </c>
      <c r="G3976" s="3" t="str">
        <f>"Horper Trophy"</f>
        <v>Horper Trophy</v>
      </c>
      <c r="H3976" s="2" t="str">
        <f>"1994"</f>
        <v>1994</v>
      </c>
      <c r="I3976" s="3" t="str">
        <f>""</f>
        <v/>
      </c>
    </row>
    <row r="3977" spans="1:9" x14ac:dyDescent="0.3">
      <c r="A3977" s="2">
        <v>3976</v>
      </c>
      <c r="B3977" s="4" t="s">
        <v>58</v>
      </c>
      <c r="C3977" s="3" t="str">
        <f>"TFC000002623"</f>
        <v>TFC000002623</v>
      </c>
      <c r="D3977" s="3" t="str">
        <f>"F800-20-2950-(AR 5.7)"</f>
        <v>F800-20-2950-(AR 5.7)</v>
      </c>
      <c r="E3977" s="3" t="str">
        <f>"(The)silver chair"</f>
        <v>(The)silver chair</v>
      </c>
      <c r="F3977" s="3" t="str">
        <f>"by C.S. Lewis ; illustrated by Pauline Baynes"</f>
        <v>by C.S. Lewis ; illustrated by Pauline Baynes</v>
      </c>
      <c r="G3977" s="3" t="str">
        <f>"Horper Trophy"</f>
        <v>Horper Trophy</v>
      </c>
      <c r="H3977" s="2" t="str">
        <f>"1994"</f>
        <v>1994</v>
      </c>
      <c r="I3977" s="3" t="str">
        <f>""</f>
        <v/>
      </c>
    </row>
    <row r="3978" spans="1:9" x14ac:dyDescent="0.3">
      <c r="A3978" s="2">
        <v>3977</v>
      </c>
      <c r="B3978" s="4" t="s">
        <v>58</v>
      </c>
      <c r="C3978" s="3" t="str">
        <f>"TFC000002624"</f>
        <v>TFC000002624</v>
      </c>
      <c r="D3978" s="3" t="str">
        <f>"F800-20-2951-(AR 5.7)"</f>
        <v>F800-20-2951-(AR 5.7)</v>
      </c>
      <c r="E3978" s="3" t="str">
        <f>"(The)lion, the witch, and the wardrobe"</f>
        <v>(The)lion, the witch, and the wardrobe</v>
      </c>
      <c r="F3978" s="3" t="str">
        <f>"C. S. Lewis ; illustrated by Pauline Baynes"</f>
        <v>C. S. Lewis ; illustrated by Pauline Baynes</v>
      </c>
      <c r="G3978" s="3" t="str">
        <f>"HarperTrophy"</f>
        <v>HarperTrophy</v>
      </c>
      <c r="H3978" s="2" t="str">
        <f>"1994"</f>
        <v>1994</v>
      </c>
      <c r="I3978" s="3" t="str">
        <f>""</f>
        <v/>
      </c>
    </row>
    <row r="3979" spans="1:9" x14ac:dyDescent="0.3">
      <c r="A3979" s="2">
        <v>3978</v>
      </c>
      <c r="B3979" s="4" t="s">
        <v>58</v>
      </c>
      <c r="C3979" s="3" t="str">
        <f>"TFC000002625"</f>
        <v>TFC000002625</v>
      </c>
      <c r="D3979" s="3" t="str">
        <f>"F800-20-2952-(AR 5.7)"</f>
        <v>F800-20-2952-(AR 5.7)</v>
      </c>
      <c r="E3979" s="3" t="str">
        <f>"Jacob have I loved"</f>
        <v>Jacob have I loved</v>
      </c>
      <c r="F3979" s="3" t="str">
        <f>"Katherine Paterson"</f>
        <v>Katherine Paterson</v>
      </c>
      <c r="G3979" s="3" t="str">
        <f>"HarperTrophy"</f>
        <v>HarperTrophy</v>
      </c>
      <c r="H3979" s="2" t="str">
        <f>"1990"</f>
        <v>1990</v>
      </c>
      <c r="I3979" s="3" t="str">
        <f>""</f>
        <v/>
      </c>
    </row>
    <row r="3980" spans="1:9" x14ac:dyDescent="0.3">
      <c r="A3980" s="2">
        <v>3979</v>
      </c>
      <c r="B3980" s="4" t="s">
        <v>58</v>
      </c>
      <c r="C3980" s="3" t="str">
        <f>"TFC000002626"</f>
        <v>TFC000002626</v>
      </c>
      <c r="D3980" s="3" t="str">
        <f>"F800-20-2953-(AR 5.7)"</f>
        <v>F800-20-2953-(AR 5.7)</v>
      </c>
      <c r="E3980" s="3" t="str">
        <f>"(The)witch of blackbird pond"</f>
        <v>(The)witch of blackbird pond</v>
      </c>
      <c r="F3980" s="3" t="str">
        <f>"Elizabeth George Speare"</f>
        <v>Elizabeth George Speare</v>
      </c>
      <c r="G3980" s="3" t="str">
        <f>"Houghton Mifflin Harcourt"</f>
        <v>Houghton Mifflin Harcourt</v>
      </c>
      <c r="H3980" s="2" t="str">
        <f>"1986"</f>
        <v>1986</v>
      </c>
      <c r="I3980" s="3" t="str">
        <f>""</f>
        <v/>
      </c>
    </row>
    <row r="3981" spans="1:9" x14ac:dyDescent="0.3">
      <c r="A3981" s="2">
        <v>3980</v>
      </c>
      <c r="B3981" s="4" t="s">
        <v>58</v>
      </c>
      <c r="C3981" s="3" t="str">
        <f>"TFC000002627"</f>
        <v>TFC000002627</v>
      </c>
      <c r="D3981" s="3" t="str">
        <f>"F800-20-2954-(AR 5.7)"</f>
        <v>F800-20-2954-(AR 5.7)</v>
      </c>
      <c r="E3981" s="3" t="str">
        <f>"Roll of thunder hear my cry"</f>
        <v>Roll of thunder hear my cry</v>
      </c>
      <c r="F3981" s="3" t="str">
        <f>"by Mildred D. taylor ; frontispiece by Jerry Pinkney"</f>
        <v>by Mildred D. taylor ; frontispiece by Jerry Pinkney</v>
      </c>
      <c r="G3981" s="3" t="str">
        <f>"Puffin books"</f>
        <v>Puffin books</v>
      </c>
      <c r="H3981" s="2" t="str">
        <f>"2004"</f>
        <v>2004</v>
      </c>
      <c r="I3981" s="3" t="str">
        <f>""</f>
        <v/>
      </c>
    </row>
    <row r="3982" spans="1:9" x14ac:dyDescent="0.3">
      <c r="A3982" s="2">
        <v>3981</v>
      </c>
      <c r="B3982" s="4" t="s">
        <v>58</v>
      </c>
      <c r="C3982" s="3" t="str">
        <f>"TFC000002628"</f>
        <v>TFC000002628</v>
      </c>
      <c r="D3982" s="3" t="str">
        <f>"F800-20-2955-(AR 5.7)"</f>
        <v>F800-20-2955-(AR 5.7)</v>
      </c>
      <c r="E3982" s="3" t="str">
        <f>"(The)wright 3"</f>
        <v>(The)wright 3</v>
      </c>
      <c r="F3982" s="3" t="str">
        <f>"by Blue Balliett ; illustrated by Brett Helquist"</f>
        <v>by Blue Balliett ; illustrated by Brett Helquist</v>
      </c>
      <c r="G3982" s="3" t="str">
        <f>"Scholastic"</f>
        <v>Scholastic</v>
      </c>
      <c r="H3982" s="2" t="str">
        <f>"2007"</f>
        <v>2007</v>
      </c>
      <c r="I3982" s="3" t="str">
        <f>""</f>
        <v/>
      </c>
    </row>
    <row r="3983" spans="1:9" x14ac:dyDescent="0.3">
      <c r="A3983" s="2">
        <v>3982</v>
      </c>
      <c r="B3983" s="4" t="s">
        <v>58</v>
      </c>
      <c r="C3983" s="3" t="str">
        <f>"TFC000002630"</f>
        <v>TFC000002630</v>
      </c>
      <c r="D3983" s="3" t="str">
        <f>"F800-20-2957-(AR 5.7)"</f>
        <v>F800-20-2957-(AR 5.7)</v>
      </c>
      <c r="E3983" s="3" t="str">
        <f>"Julius Caesar"</f>
        <v>Julius Caesar</v>
      </c>
      <c r="F3983" s="3" t="str">
        <f>"by Rachel Firth ; illustrated by Stephen Parkhouse ; history consultant Dr. Anne Millard"</f>
        <v>by Rachel Firth ; illustrated by Stephen Parkhouse ; history consultant Dr. Anne Millard</v>
      </c>
      <c r="G3983" s="3" t="str">
        <f>"Usborne"</f>
        <v>Usborne</v>
      </c>
      <c r="H3983" s="2" t="str">
        <f>"2007"</f>
        <v>2007</v>
      </c>
      <c r="I3983" s="3" t="str">
        <f>""</f>
        <v/>
      </c>
    </row>
    <row r="3984" spans="1:9" x14ac:dyDescent="0.3">
      <c r="A3984" s="2">
        <v>3983</v>
      </c>
      <c r="B3984" s="4" t="s">
        <v>58</v>
      </c>
      <c r="C3984" s="3" t="str">
        <f>"TFC000002631"</f>
        <v>TFC000002631</v>
      </c>
      <c r="D3984" s="3" t="str">
        <f>"F800-20-2958-(AR 5.7)"</f>
        <v>F800-20-2958-(AR 5.7)</v>
      </c>
      <c r="E3984" s="3" t="str">
        <f>"Dead end in Norvelt"</f>
        <v>Dead end in Norvelt</v>
      </c>
      <c r="F3984" s="3" t="str">
        <f>"by Jack Gantos"</f>
        <v>by Jack Gantos</v>
      </c>
      <c r="G3984" s="3" t="str">
        <f>"Farrar Straus Giroux"</f>
        <v>Farrar Straus Giroux</v>
      </c>
      <c r="H3984" s="2" t="str">
        <f>"2013"</f>
        <v>2013</v>
      </c>
      <c r="I3984" s="3" t="str">
        <f>""</f>
        <v/>
      </c>
    </row>
    <row r="3985" spans="1:9" x14ac:dyDescent="0.3">
      <c r="A3985" s="2">
        <v>3984</v>
      </c>
      <c r="B3985" s="4" t="s">
        <v>58</v>
      </c>
      <c r="C3985" s="3" t="str">
        <f>"TFC000002632"</f>
        <v>TFC000002632</v>
      </c>
      <c r="D3985" s="3" t="str">
        <f>"F800-20-2959-(AR 5.7)"</f>
        <v>F800-20-2959-(AR 5.7)</v>
      </c>
      <c r="E3985" s="3" t="str">
        <f>"Cloth Lullaby : the woven life of Louise Bourgeois"</f>
        <v>Cloth Lullaby : the woven life of Louise Bourgeois</v>
      </c>
      <c r="F3985" s="3" t="str">
        <f>"words by Amy Novesky ; pictures by Isabelle Arsenault"</f>
        <v>words by Amy Novesky ; pictures by Isabelle Arsenault</v>
      </c>
      <c r="G3985" s="3" t="str">
        <f>"Abrams Books For Young Readers"</f>
        <v>Abrams Books For Young Readers</v>
      </c>
      <c r="H3985" s="2" t="str">
        <f>"2016"</f>
        <v>2016</v>
      </c>
      <c r="I3985" s="3" t="str">
        <f>""</f>
        <v/>
      </c>
    </row>
    <row r="3986" spans="1:9" x14ac:dyDescent="0.3">
      <c r="A3986" s="2">
        <v>3985</v>
      </c>
      <c r="B3986" s="4" t="s">
        <v>58</v>
      </c>
      <c r="C3986" s="3" t="str">
        <f>"TFC000002634"</f>
        <v>TFC000002634</v>
      </c>
      <c r="D3986" s="3" t="str">
        <f>"F800-20-2961-(AR 5.7)"</f>
        <v>F800-20-2961-(AR 5.7)</v>
      </c>
      <c r="E3986" s="3" t="str">
        <f>"(The)witches of worm"</f>
        <v>(The)witches of worm</v>
      </c>
      <c r="F3986" s="3" t="str">
        <f>"Zilpha Keatley Snyder ; illustrated by Alton Raible"</f>
        <v>Zilpha Keatley Snyder ; illustrated by Alton Raible</v>
      </c>
      <c r="G3986" s="3" t="str">
        <f>"Atheneum Books for Young Readers"</f>
        <v>Atheneum Books for Young Readers</v>
      </c>
      <c r="H3986" s="2" t="str">
        <f>"2009"</f>
        <v>2009</v>
      </c>
      <c r="I3986" s="3" t="str">
        <f>""</f>
        <v/>
      </c>
    </row>
    <row r="3987" spans="1:9" x14ac:dyDescent="0.3">
      <c r="A3987" s="2">
        <v>3986</v>
      </c>
      <c r="B3987" s="4" t="s">
        <v>58</v>
      </c>
      <c r="C3987" s="3" t="str">
        <f>"TFC000002638"</f>
        <v>TFC000002638</v>
      </c>
      <c r="D3987" s="3" t="str">
        <f>"F900-20-2967-(AR 5.7)"</f>
        <v>F900-20-2967-(AR 5.7)</v>
      </c>
      <c r="E3987" s="3" t="str">
        <f>"Who was Frederick Douglass?"</f>
        <v>Who was Frederick Douglass?</v>
      </c>
      <c r="F3987" s="3" t="str">
        <f>"by April Jones Prince ; illustrated by Robert Squier"</f>
        <v>by April Jones Prince ; illustrated by Robert Squier</v>
      </c>
      <c r="G3987" s="3" t="str">
        <f>"Penguin Workshop"</f>
        <v>Penguin Workshop</v>
      </c>
      <c r="H3987" s="2" t="str">
        <f>"2015"</f>
        <v>2015</v>
      </c>
      <c r="I3987" s="3" t="str">
        <f>""</f>
        <v/>
      </c>
    </row>
    <row r="3988" spans="1:9" x14ac:dyDescent="0.3">
      <c r="A3988" s="2">
        <v>3987</v>
      </c>
      <c r="B3988" s="4" t="s">
        <v>58</v>
      </c>
      <c r="C3988" s="3" t="str">
        <f>"TFC000003024"</f>
        <v>TFC000003024</v>
      </c>
      <c r="D3988" s="3" t="str">
        <f>"F800-20-2962-(AR 5.7)"</f>
        <v>F800-20-2962-(AR 5.7)</v>
      </c>
      <c r="E3988" s="3" t="str">
        <f>"(The)wind in the willows"</f>
        <v>(The)wind in the willows</v>
      </c>
      <c r="F3988" s="3" t="str">
        <f>"retold from the Kenneth Grahame ; original by Martin Woodside ; illustrated by Jamel Akib"</f>
        <v>retold from the Kenneth Grahame ; original by Martin Woodside ; illustrated by Jamel Akib</v>
      </c>
      <c r="G3988" s="3" t="str">
        <f>"Sterling"</f>
        <v>Sterling</v>
      </c>
      <c r="H3988" s="2" t="str">
        <f>"2007"</f>
        <v>2007</v>
      </c>
      <c r="I3988" s="3" t="str">
        <f>""</f>
        <v/>
      </c>
    </row>
    <row r="3989" spans="1:9" x14ac:dyDescent="0.3">
      <c r="A3989" s="2">
        <v>3988</v>
      </c>
      <c r="B3989" s="4" t="s">
        <v>58</v>
      </c>
      <c r="C3989" s="3" t="str">
        <f>"TFC000003109"</f>
        <v>TFC000003109</v>
      </c>
      <c r="D3989" s="3" t="str">
        <f>"F800-20-2963-(AR 5.7)"</f>
        <v>F800-20-2963-(AR 5.7)</v>
      </c>
      <c r="E3989" s="3" t="str">
        <f>"Throne of glass"</f>
        <v>Throne of glass</v>
      </c>
      <c r="F3989" s="3" t="str">
        <f>"Sarah J. Maas"</f>
        <v>Sarah J. Maas</v>
      </c>
      <c r="G3989" s="3" t="str">
        <f>"Bloomsbury"</f>
        <v>Bloomsbury</v>
      </c>
      <c r="H3989" s="2" t="str">
        <f>"2012"</f>
        <v>2012</v>
      </c>
      <c r="I3989" s="3" t="str">
        <f>""</f>
        <v/>
      </c>
    </row>
    <row r="3990" spans="1:9" x14ac:dyDescent="0.3">
      <c r="A3990" s="2">
        <v>3989</v>
      </c>
      <c r="B3990" s="4" t="s">
        <v>58</v>
      </c>
      <c r="C3990" s="3" t="str">
        <f>"TFC000003417"</f>
        <v>TFC000003417</v>
      </c>
      <c r="D3990" s="3" t="str">
        <f>"F800-21-0906-(AR 5.7)"</f>
        <v>F800-21-0906-(AR 5.7)</v>
      </c>
      <c r="E3990" s="3" t="str">
        <f>"(The)giver"</f>
        <v>(The)giver</v>
      </c>
      <c r="F3990" s="3" t="str">
        <f>"by Lois Lowry"</f>
        <v>by Lois Lowry</v>
      </c>
      <c r="G3990" s="3" t="str">
        <f>"Houghton Mifflin Harcourt"</f>
        <v>Houghton Mifflin Harcourt</v>
      </c>
      <c r="H3990" s="2" t="str">
        <f>"1993"</f>
        <v>1993</v>
      </c>
      <c r="I3990" s="3" t="str">
        <f>""</f>
        <v/>
      </c>
    </row>
    <row r="3991" spans="1:9" x14ac:dyDescent="0.3">
      <c r="A3991" s="2">
        <v>3990</v>
      </c>
      <c r="B3991" s="4" t="s">
        <v>58</v>
      </c>
      <c r="C3991" s="3" t="str">
        <f>"TFC000003581"</f>
        <v>TFC000003581</v>
      </c>
      <c r="D3991" s="3" t="str">
        <f>"F900-21-0911-(AR 5.7)"</f>
        <v>F900-21-0911-(AR 5.7)</v>
      </c>
      <c r="E3991" s="3" t="str">
        <f>"Who is Greta Thunberg?"</f>
        <v>Who is Greta Thunberg?</v>
      </c>
      <c r="F3991" s="3" t="str">
        <f>"by Jill Leonard ; illustrated by Manuel Gutierrez"</f>
        <v>by Jill Leonard ; illustrated by Manuel Gutierrez</v>
      </c>
      <c r="G3991" s="3" t="str">
        <f>"Penguin Workshop"</f>
        <v>Penguin Workshop</v>
      </c>
      <c r="H3991" s="2" t="str">
        <f>"2020"</f>
        <v>2020</v>
      </c>
      <c r="I3991" s="3" t="str">
        <f>""</f>
        <v/>
      </c>
    </row>
    <row r="3992" spans="1:9" x14ac:dyDescent="0.3">
      <c r="A3992" s="2">
        <v>3991</v>
      </c>
      <c r="B3992" s="4" t="s">
        <v>58</v>
      </c>
      <c r="C3992" s="3" t="str">
        <f>"TFC000003643"</f>
        <v>TFC000003643</v>
      </c>
      <c r="D3992" s="3" t="str">
        <f>"F800-21-0907-(AR 5.7)"</f>
        <v>F800-21-0907-(AR 5.7)</v>
      </c>
      <c r="E3992" s="3" t="str">
        <f>"Meriel of Redwall"</f>
        <v>Meriel of Redwall</v>
      </c>
      <c r="F3992" s="3" t="str">
        <f>"by Brian Jacques ; illustrated by Gary Chalk"</f>
        <v>by Brian Jacques ; illustrated by Gary Chalk</v>
      </c>
      <c r="G3992" s="3" t="str">
        <f>"Firebird"</f>
        <v>Firebird</v>
      </c>
      <c r="H3992" s="2" t="str">
        <f>"2003"</f>
        <v>2003</v>
      </c>
      <c r="I3992" s="3" t="str">
        <f>""</f>
        <v/>
      </c>
    </row>
    <row r="3993" spans="1:9" x14ac:dyDescent="0.3">
      <c r="A3993" s="2">
        <v>3992</v>
      </c>
      <c r="B3993" s="4" t="s">
        <v>58</v>
      </c>
      <c r="C3993" s="3" t="str">
        <f>"TFC000003644"</f>
        <v>TFC000003644</v>
      </c>
      <c r="D3993" s="3" t="str">
        <f>"F800-21-0908-(AR 5.7)"</f>
        <v>F800-21-0908-(AR 5.7)</v>
      </c>
      <c r="E3993" s="3" t="str">
        <f>"Salamandastron"</f>
        <v>Salamandastron</v>
      </c>
      <c r="F3993" s="3" t="str">
        <f>"by Brian Jacques ; illustrated by Gary Chalk"</f>
        <v>by Brian Jacques ; illustrated by Gary Chalk</v>
      </c>
      <c r="G3993" s="3" t="str">
        <f>"Firebird"</f>
        <v>Firebird</v>
      </c>
      <c r="H3993" s="2" t="str">
        <f>"2003"</f>
        <v>2003</v>
      </c>
      <c r="I3993" s="3" t="str">
        <f>""</f>
        <v/>
      </c>
    </row>
    <row r="3994" spans="1:9" x14ac:dyDescent="0.3">
      <c r="A3994" s="2">
        <v>3993</v>
      </c>
      <c r="B3994" s="4" t="s">
        <v>58</v>
      </c>
      <c r="C3994" s="3" t="str">
        <f>"TFC000003645"</f>
        <v>TFC000003645</v>
      </c>
      <c r="D3994" s="3" t="str">
        <f>"F800-21-0909-(AR 5.7)"</f>
        <v>F800-21-0909-(AR 5.7)</v>
      </c>
      <c r="E3994" s="3" t="str">
        <f>"(The)bellmaker"</f>
        <v>(The)bellmaker</v>
      </c>
      <c r="F3994" s="3" t="str">
        <f>"by Brian Jacques ; illustrated by Gary Chalk"</f>
        <v>by Brian Jacques ; illustrated by Gary Chalk</v>
      </c>
      <c r="G3994" s="3" t="str">
        <f>"Firebird"</f>
        <v>Firebird</v>
      </c>
      <c r="H3994" s="2" t="str">
        <f>"2004"</f>
        <v>2004</v>
      </c>
      <c r="I3994" s="3" t="str">
        <f>""</f>
        <v/>
      </c>
    </row>
    <row r="3995" spans="1:9" x14ac:dyDescent="0.3">
      <c r="A3995" s="2">
        <v>3994</v>
      </c>
      <c r="B3995" s="4" t="s">
        <v>58</v>
      </c>
      <c r="C3995" s="3" t="str">
        <f>"TFC000003646"</f>
        <v>TFC000003646</v>
      </c>
      <c r="D3995" s="3" t="str">
        <f>"F800-21-0910-(AR 5.7)"</f>
        <v>F800-21-0910-(AR 5.7)</v>
      </c>
      <c r="E3995" s="3" t="str">
        <f>"Artemis Fowl : the opal deception"</f>
        <v>Artemis Fowl : the opal deception</v>
      </c>
      <c r="F3995" s="3" t="str">
        <f>"by Eoin Colfer"</f>
        <v>by Eoin Colfer</v>
      </c>
      <c r="G3995" s="3" t="str">
        <f>"Thorndike Press"</f>
        <v>Thorndike Press</v>
      </c>
      <c r="H3995" s="2" t="str">
        <f>"2020"</f>
        <v>2020</v>
      </c>
      <c r="I3995" s="3" t="str">
        <f>""</f>
        <v/>
      </c>
    </row>
    <row r="3996" spans="1:9" x14ac:dyDescent="0.3">
      <c r="A3996" s="2">
        <v>3995</v>
      </c>
      <c r="B3996" s="4" t="s">
        <v>58</v>
      </c>
      <c r="C3996" s="3" t="str">
        <f>"TFC000003654"</f>
        <v>TFC000003654</v>
      </c>
      <c r="D3996" s="3" t="str">
        <f>"F800-21-0977-(AR 5.7)"</f>
        <v>F800-21-0977-(AR 5.7)</v>
      </c>
      <c r="E3996" s="3" t="str">
        <f>"Rowley Jefferson's awesome friendly spooky stories"</f>
        <v>Rowley Jefferson's awesome friendly spooky stories</v>
      </c>
      <c r="F3996" s="3" t="str">
        <f>"by Jeff Kinney"</f>
        <v>by Jeff Kinney</v>
      </c>
      <c r="G3996" s="3" t="str">
        <f>"Puffin:Penguin Random House UK"</f>
        <v>Puffin:Penguin Random House UK</v>
      </c>
      <c r="H3996" s="2" t="str">
        <f>"2020"</f>
        <v>2020</v>
      </c>
      <c r="I3996" s="3" t="str">
        <f>""</f>
        <v/>
      </c>
    </row>
    <row r="3997" spans="1:9" x14ac:dyDescent="0.3">
      <c r="A3997" s="2">
        <v>3996</v>
      </c>
      <c r="B3997" s="4" t="s">
        <v>58</v>
      </c>
      <c r="C3997" s="3" t="str">
        <f>"TFC000004631"</f>
        <v>TFC000004631</v>
      </c>
      <c r="D3997" s="3" t="str">
        <f>"F800-22-0440-(AR5.7)"</f>
        <v>F800-22-0440-(AR5.7)</v>
      </c>
      <c r="E3997" s="3" t="str">
        <f>"Murder of Crows"</f>
        <v>Murder of Crows</v>
      </c>
      <c r="F3997" s="3" t="str">
        <f>"by K. Ancrum"</f>
        <v>by K. Ancrum</v>
      </c>
      <c r="G3997" s="3" t="str">
        <f>"Scholastic Inc."</f>
        <v>Scholastic Inc.</v>
      </c>
      <c r="H3997" s="2" t="str">
        <f>"2022"</f>
        <v>2022</v>
      </c>
      <c r="I3997" s="3" t="str">
        <f>""</f>
        <v/>
      </c>
    </row>
    <row r="3998" spans="1:9" x14ac:dyDescent="0.3">
      <c r="A3998" s="2">
        <v>3997</v>
      </c>
      <c r="B3998" s="4" t="s">
        <v>58</v>
      </c>
      <c r="C3998" s="3" t="str">
        <f>"TFC000004630"</f>
        <v>TFC000004630</v>
      </c>
      <c r="D3998" s="3" t="str">
        <f>"F800-22-0439-(AR5.7)"</f>
        <v>F800-22-0439-(AR5.7)</v>
      </c>
      <c r="E3998" s="3" t="str">
        <f>"Brightly burning"</f>
        <v>Brightly burning</v>
      </c>
      <c r="F3998" s="3" t="str">
        <f>"by Alexa Donne"</f>
        <v>by Alexa Donne</v>
      </c>
      <c r="G3998" s="3" t="str">
        <f>"Titan Books"</f>
        <v>Titan Books</v>
      </c>
      <c r="H3998" s="2" t="str">
        <f>"2018"</f>
        <v>2018</v>
      </c>
      <c r="I3998" s="3" t="str">
        <f>""</f>
        <v/>
      </c>
    </row>
    <row r="3999" spans="1:9" x14ac:dyDescent="0.3">
      <c r="A3999" s="2">
        <v>3998</v>
      </c>
      <c r="B3999" s="4" t="s">
        <v>58</v>
      </c>
      <c r="C3999" s="3" t="str">
        <f>"TFC000004516"</f>
        <v>TFC000004516</v>
      </c>
      <c r="D3999" s="3" t="str">
        <f>"F500-22-0325-(AR5.7)"</f>
        <v>F500-22-0325-(AR5.7)</v>
      </c>
      <c r="E3999" s="3" t="str">
        <f>"Fly High, John Glenn : (The)Story of an American Hero"</f>
        <v>Fly High, John Glenn : (The)Story of an American Hero</v>
      </c>
      <c r="F3999" s="3" t="str">
        <f>"by Kathleen Krull, illustrated by Maurizio A. C. Quarello"</f>
        <v>by Kathleen Krull, illustrated by Maurizio A. C. Quarello</v>
      </c>
      <c r="G3999" s="3" t="str">
        <f>"Harper"</f>
        <v>Harper</v>
      </c>
      <c r="H3999" s="2" t="str">
        <f>"2020"</f>
        <v>2020</v>
      </c>
      <c r="I3999" s="3" t="str">
        <f>""</f>
        <v/>
      </c>
    </row>
    <row r="4000" spans="1:9" x14ac:dyDescent="0.3">
      <c r="A4000" s="2">
        <v>3999</v>
      </c>
      <c r="B4000" s="4" t="s">
        <v>58</v>
      </c>
      <c r="C4000" s="3" t="str">
        <f>"TFC000004588"</f>
        <v>TFC000004588</v>
      </c>
      <c r="D4000" s="3" t="str">
        <f>"F800-22-0397-(AR5.7)"</f>
        <v>F800-22-0397-(AR5.7)</v>
      </c>
      <c r="E4000" s="3" t="str">
        <f>"Symbiosis"</f>
        <v>Symbiosis</v>
      </c>
      <c r="F4000" s="3" t="str">
        <f>"by Nic Stone"</f>
        <v>by Nic Stone</v>
      </c>
      <c r="G4000" s="3" t="str">
        <f>"Scholastic Inc."</f>
        <v>Scholastic Inc.</v>
      </c>
      <c r="H4000" s="2" t="str">
        <f>"2021"</f>
        <v>2021</v>
      </c>
      <c r="I4000" s="3" t="str">
        <f>""</f>
        <v/>
      </c>
    </row>
    <row r="4001" spans="1:9" x14ac:dyDescent="0.3">
      <c r="A4001" s="2">
        <v>4000</v>
      </c>
      <c r="B4001" s="4" t="s">
        <v>58</v>
      </c>
      <c r="C4001" s="3" t="str">
        <f>"TFC000004586"</f>
        <v>TFC000004586</v>
      </c>
      <c r="D4001" s="3" t="str">
        <f>"F800-22-0395-(AR5.7)"</f>
        <v>F800-22-0395-(AR5.7)</v>
      </c>
      <c r="E4001" s="3" t="str">
        <f>"Across the Minefields"</f>
        <v>Across the Minefields</v>
      </c>
      <c r="F4001" s="3" t="str">
        <f>"by Pamela D. Toler, James Buckley, illustrated by James Bernardin"</f>
        <v>by Pamela D. Toler, James Buckley, illustrated by James Bernardin</v>
      </c>
      <c r="G4001" s="3" t="str">
        <f>"HarperCollins"</f>
        <v>HarperCollins</v>
      </c>
      <c r="H4001" s="2" t="str">
        <f>"2021"</f>
        <v>2021</v>
      </c>
      <c r="I4001" s="3" t="str">
        <f>""</f>
        <v/>
      </c>
    </row>
    <row r="4002" spans="1:9" x14ac:dyDescent="0.3">
      <c r="A4002" s="2">
        <v>4001</v>
      </c>
      <c r="B4002" s="4" t="s">
        <v>58</v>
      </c>
      <c r="C4002" s="3" t="str">
        <f>"TFC000004587"</f>
        <v>TFC000004587</v>
      </c>
      <c r="D4002" s="3" t="str">
        <f>"F800-22-0396-(AR5.7)"</f>
        <v>F800-22-0396-(AR5.7)</v>
      </c>
      <c r="E4002" s="3" t="str">
        <f>"Ella Unleashed"</f>
        <v>Ella Unleashed</v>
      </c>
      <c r="F4002" s="3" t="str">
        <f>"by Alison Cherry"</f>
        <v>by Alison Cherry</v>
      </c>
      <c r="G4002" s="3" t="str">
        <f>"Aladdin"</f>
        <v>Aladdin</v>
      </c>
      <c r="H4002" s="2" t="str">
        <f>"2018"</f>
        <v>2018</v>
      </c>
      <c r="I4002" s="3" t="str">
        <f>""</f>
        <v/>
      </c>
    </row>
    <row r="4003" spans="1:9" x14ac:dyDescent="0.3">
      <c r="A4003" s="2">
        <v>4002</v>
      </c>
      <c r="B4003" s="4">
        <v>5.7</v>
      </c>
      <c r="C4003" s="3" t="str">
        <f>"TFC000002629"</f>
        <v>TFC000002629</v>
      </c>
      <c r="D4003" s="3" t="str">
        <f>"F800-20-2956-2(AR 5.7)"</f>
        <v>F800-20-2956-2(AR 5.7)</v>
      </c>
      <c r="E4003" s="3" t="str">
        <f>"(Disney)Frozen Ⅱ : forest of shadows"</f>
        <v>(Disney)Frozen Ⅱ : forest of shadows</v>
      </c>
      <c r="F4003" s="3" t="str">
        <f>"an original tale by Kamilla Benko"</f>
        <v>an original tale by Kamilla Benko</v>
      </c>
      <c r="G4003" s="3" t="str">
        <f>"Disney Press"</f>
        <v>Disney Press</v>
      </c>
      <c r="H4003" s="2" t="str">
        <f>"2019"</f>
        <v>2019</v>
      </c>
      <c r="I4003" s="3" t="str">
        <f>""</f>
        <v/>
      </c>
    </row>
    <row r="4004" spans="1:9" x14ac:dyDescent="0.3">
      <c r="A4004" s="2">
        <v>4003</v>
      </c>
      <c r="B4004" s="4" t="s">
        <v>59</v>
      </c>
      <c r="C4004" s="3" t="str">
        <f>"TFC000002653"</f>
        <v>TFC000002653</v>
      </c>
      <c r="D4004" s="3" t="str">
        <f>"F900-20-2987-(AR 5.8)"</f>
        <v>F900-20-2987-(AR 5.8)</v>
      </c>
      <c r="E4004" s="3" t="str">
        <f>"Who were the Wright Brothers?"</f>
        <v>Who were the Wright Brothers?</v>
      </c>
      <c r="F4004" s="3" t="str">
        <f>"by James Buckley Jr. ; illustrated by Tim Foley"</f>
        <v>by James Buckley Jr. ; illustrated by Tim Foley</v>
      </c>
      <c r="G4004" s="3" t="str">
        <f>"Penguin Workshop"</f>
        <v>Penguin Workshop</v>
      </c>
      <c r="H4004" s="2" t="str">
        <f>"2015"</f>
        <v>2015</v>
      </c>
      <c r="I4004" s="3" t="str">
        <f>""</f>
        <v/>
      </c>
    </row>
    <row r="4005" spans="1:9" x14ac:dyDescent="0.3">
      <c r="A4005" s="2">
        <v>4004</v>
      </c>
      <c r="B4005" s="4" t="s">
        <v>59</v>
      </c>
      <c r="C4005" s="3" t="str">
        <f>"TFC000002639"</f>
        <v>TFC000002639</v>
      </c>
      <c r="D4005" s="3" t="str">
        <f>"F400-20-2968-(AR 5.8)"</f>
        <v>F400-20-2968-(AR 5.8)</v>
      </c>
      <c r="E4005" s="3" t="str">
        <f>"(A)drop of water : a book of science and wonder"</f>
        <v>(A)drop of water : a book of science and wonder</v>
      </c>
      <c r="F4005" s="3" t="str">
        <f>"written and photogr. by Walter Wick"</f>
        <v>written and photogr. by Walter Wick</v>
      </c>
      <c r="G4005" s="3" t="str">
        <f>"Scholastic Press"</f>
        <v>Scholastic Press</v>
      </c>
      <c r="H4005" s="2" t="str">
        <f>"1997"</f>
        <v>1997</v>
      </c>
      <c r="I4005" s="3" t="str">
        <f>""</f>
        <v/>
      </c>
    </row>
    <row r="4006" spans="1:9" x14ac:dyDescent="0.3">
      <c r="A4006" s="2">
        <v>4005</v>
      </c>
      <c r="B4006" s="4" t="s">
        <v>59</v>
      </c>
      <c r="C4006" s="3" t="str">
        <f>"TFC000002640"</f>
        <v>TFC000002640</v>
      </c>
      <c r="D4006" s="3" t="str">
        <f>"F400-20-2969-(AR 5.8)"</f>
        <v>F400-20-2969-(AR 5.8)</v>
      </c>
      <c r="E4006" s="3" t="str">
        <f>"Volcano : the Eruption and Healing of Mount St. Helens"</f>
        <v>Volcano : the Eruption and Healing of Mount St. Helens</v>
      </c>
      <c r="F4006" s="3" t="str">
        <f>"Patricia Lauber"</f>
        <v>Patricia Lauber</v>
      </c>
      <c r="G4006" s="3" t="str">
        <f>"Aladdin Paperbacks"</f>
        <v>Aladdin Paperbacks</v>
      </c>
      <c r="H4006" s="2" t="str">
        <f>"1993"</f>
        <v>1993</v>
      </c>
      <c r="I4006" s="3" t="str">
        <f>""</f>
        <v/>
      </c>
    </row>
    <row r="4007" spans="1:9" x14ac:dyDescent="0.3">
      <c r="A4007" s="2">
        <v>4006</v>
      </c>
      <c r="B4007" s="4" t="s">
        <v>59</v>
      </c>
      <c r="C4007" s="3" t="str">
        <f>"TFC000002644"</f>
        <v>TFC000002644</v>
      </c>
      <c r="D4007" s="3" t="str">
        <f>"F800-20-2974-(AR 5.8)"</f>
        <v>F800-20-2974-(AR 5.8)</v>
      </c>
      <c r="E4007" s="3" t="str">
        <f>"Everything on a waffle"</f>
        <v>Everything on a waffle</v>
      </c>
      <c r="F4007" s="3" t="str">
        <f>"Polly Horvath"</f>
        <v>Polly Horvath</v>
      </c>
      <c r="G4007" s="3" t="str">
        <f>"Farrar Straus Giroux"</f>
        <v>Farrar Straus Giroux</v>
      </c>
      <c r="H4007" s="2" t="str">
        <f>"2008"</f>
        <v>2008</v>
      </c>
      <c r="I4007" s="3" t="str">
        <f>""</f>
        <v/>
      </c>
    </row>
    <row r="4008" spans="1:9" x14ac:dyDescent="0.3">
      <c r="A4008" s="2">
        <v>4007</v>
      </c>
      <c r="B4008" s="4" t="s">
        <v>59</v>
      </c>
      <c r="C4008" s="3" t="str">
        <f>"TFC000002645"</f>
        <v>TFC000002645</v>
      </c>
      <c r="D4008" s="3" t="str">
        <f>"F800-20-2975-(AR 5.8)"</f>
        <v>F800-20-2975-(AR 5.8)</v>
      </c>
      <c r="E4008" s="3" t="str">
        <f>"(The)Extraordinary Mark Twain (according to Susy)"</f>
        <v>(The)Extraordinary Mark Twain (according to Susy)</v>
      </c>
      <c r="F4008" s="3" t="str">
        <f>"by Barbara Kerley ; iIllustrated by Edwin Fotheringham"</f>
        <v>by Barbara Kerley ; iIllustrated by Edwin Fotheringham</v>
      </c>
      <c r="G4008" s="3" t="str">
        <f>"Scholastic"</f>
        <v>Scholastic</v>
      </c>
      <c r="H4008" s="2" t="str">
        <f>"2010"</f>
        <v>2010</v>
      </c>
      <c r="I4008" s="3" t="str">
        <f>""</f>
        <v/>
      </c>
    </row>
    <row r="4009" spans="1:9" x14ac:dyDescent="0.3">
      <c r="A4009" s="2">
        <v>4008</v>
      </c>
      <c r="B4009" s="4" t="s">
        <v>59</v>
      </c>
      <c r="C4009" s="3" t="str">
        <f>"TFC000002646"</f>
        <v>TFC000002646</v>
      </c>
      <c r="D4009" s="3" t="str">
        <f>"F800-20-2976-(AR 5.8)"</f>
        <v>F800-20-2976-(AR 5.8)</v>
      </c>
      <c r="E4009" s="3" t="str">
        <f>"Millicent Min, girl genius"</f>
        <v>Millicent Min, girl genius</v>
      </c>
      <c r="F4009" s="3" t="str">
        <f>"by Lisa Yee"</f>
        <v>by Lisa Yee</v>
      </c>
      <c r="G4009" s="3" t="str">
        <f>"Scholastic"</f>
        <v>Scholastic</v>
      </c>
      <c r="H4009" s="2" t="str">
        <f>"2003"</f>
        <v>2003</v>
      </c>
      <c r="I4009" s="3" t="str">
        <f>""</f>
        <v/>
      </c>
    </row>
    <row r="4010" spans="1:9" x14ac:dyDescent="0.3">
      <c r="A4010" s="2">
        <v>4009</v>
      </c>
      <c r="B4010" s="4" t="s">
        <v>59</v>
      </c>
      <c r="C4010" s="3" t="str">
        <f>"TFC000002647"</f>
        <v>TFC000002647</v>
      </c>
      <c r="D4010" s="3" t="str">
        <f>"F900-20-2981-(AR 5.8)"</f>
        <v>F900-20-2981-(AR 5.8)</v>
      </c>
      <c r="E4010" s="3" t="str">
        <f>"What was the Battle of Gettysburg?"</f>
        <v>What was the Battle of Gettysburg?</v>
      </c>
      <c r="F4010" s="3" t="str">
        <f>"by Jim O'Connor ; illustrated by John Mantha"</f>
        <v>by Jim O'Connor ; illustrated by John Mantha</v>
      </c>
      <c r="G4010" s="3" t="str">
        <f>"Penguin Workshop"</f>
        <v>Penguin Workshop</v>
      </c>
      <c r="H4010" s="2" t="str">
        <f>"2013"</f>
        <v>2013</v>
      </c>
      <c r="I4010" s="3" t="str">
        <f>""</f>
        <v/>
      </c>
    </row>
    <row r="4011" spans="1:9" x14ac:dyDescent="0.3">
      <c r="A4011" s="2">
        <v>4010</v>
      </c>
      <c r="B4011" s="4" t="s">
        <v>59</v>
      </c>
      <c r="C4011" s="3" t="str">
        <f>"TFC000002648"</f>
        <v>TFC000002648</v>
      </c>
      <c r="D4011" s="3" t="str">
        <f>"F900-20-2982-(AR 5.8)"</f>
        <v>F900-20-2982-(AR 5.8)</v>
      </c>
      <c r="E4011" s="3" t="str">
        <f>"What was the Lewis and Clark Expedition?"</f>
        <v>What was the Lewis and Clark Expedition?</v>
      </c>
      <c r="F4011" s="3" t="str">
        <f>"by Judith St. George ; illustrated by Tim Foley"</f>
        <v>by Judith St. George ; illustrated by Tim Foley</v>
      </c>
      <c r="G4011" s="3" t="str">
        <f>"Penguin Workshop"</f>
        <v>Penguin Workshop</v>
      </c>
      <c r="H4011" s="2" t="str">
        <f>"2014"</f>
        <v>2014</v>
      </c>
      <c r="I4011" s="3" t="str">
        <f>""</f>
        <v/>
      </c>
    </row>
    <row r="4012" spans="1:9" x14ac:dyDescent="0.3">
      <c r="A4012" s="2">
        <v>4011</v>
      </c>
      <c r="B4012" s="4" t="s">
        <v>59</v>
      </c>
      <c r="C4012" s="3" t="str">
        <f>"TFC000002649"</f>
        <v>TFC000002649</v>
      </c>
      <c r="D4012" s="3" t="str">
        <f>"F900-20-2983-(AR 5.8)"</f>
        <v>F900-20-2983-(AR 5.8)</v>
      </c>
      <c r="E4012" s="3" t="str">
        <f>"Who was Susan B. Anthony?"</f>
        <v>Who was Susan B. Anthony?</v>
      </c>
      <c r="F4012" s="3" t="str">
        <f>"by Pam Pollack, Meg Belviso ; illustrated by Mike Lacey"</f>
        <v>by Pam Pollack, Meg Belviso ; illustrated by Mike Lacey</v>
      </c>
      <c r="G4012" s="3" t="str">
        <f>"Penguin Workshop"</f>
        <v>Penguin Workshop</v>
      </c>
      <c r="H4012" s="2" t="str">
        <f>"2015"</f>
        <v>2015</v>
      </c>
      <c r="I4012" s="3" t="str">
        <f>""</f>
        <v/>
      </c>
    </row>
    <row r="4013" spans="1:9" x14ac:dyDescent="0.3">
      <c r="A4013" s="2">
        <v>4012</v>
      </c>
      <c r="B4013" s="4" t="s">
        <v>59</v>
      </c>
      <c r="C4013" s="3" t="str">
        <f>"TFC000002651"</f>
        <v>TFC000002651</v>
      </c>
      <c r="D4013" s="3" t="str">
        <f>"F900-20-2985-(AR 5.8)"</f>
        <v>F900-20-2985-(AR 5.8)</v>
      </c>
      <c r="E4013" s="3" t="str">
        <f>"Who was John F. Kennedy?"</f>
        <v>Who was John F. Kennedy?</v>
      </c>
      <c r="F4013" s="3" t="str">
        <f>"by Yona Zeldis McDonoug ; illustrated by Jill Weber"</f>
        <v>by Yona Zeldis McDonoug ; illustrated by Jill Weber</v>
      </c>
      <c r="G4013" s="3" t="str">
        <f>"Grosset &amp; Dunlap"</f>
        <v>Grosset &amp; Dunlap</v>
      </c>
      <c r="H4013" s="2" t="str">
        <f>"2005"</f>
        <v>2005</v>
      </c>
      <c r="I4013" s="3" t="str">
        <f>""</f>
        <v/>
      </c>
    </row>
    <row r="4014" spans="1:9" x14ac:dyDescent="0.3">
      <c r="A4014" s="2">
        <v>4013</v>
      </c>
      <c r="B4014" s="4" t="s">
        <v>59</v>
      </c>
      <c r="C4014" s="3" t="str">
        <f>"TFC000002652"</f>
        <v>TFC000002652</v>
      </c>
      <c r="D4014" s="3" t="str">
        <f>"F900-20-2986-(AR 5.8)"</f>
        <v>F900-20-2986-(AR 5.8)</v>
      </c>
      <c r="E4014" s="3" t="str">
        <f>"Who was Albert Einstein?"</f>
        <v>Who was Albert Einstein?</v>
      </c>
      <c r="F4014" s="3" t="str">
        <f>"by Jess Brallier ; illustrated by Robert Andrew Parker"</f>
        <v>by Jess Brallier ; illustrated by Robert Andrew Parker</v>
      </c>
      <c r="G4014" s="3" t="str">
        <f>"Grosset &amp; Dunlap"</f>
        <v>Grosset &amp; Dunlap</v>
      </c>
      <c r="H4014" s="2" t="str">
        <f>"2002"</f>
        <v>2002</v>
      </c>
      <c r="I4014" s="3" t="str">
        <f>""</f>
        <v/>
      </c>
    </row>
    <row r="4015" spans="1:9" x14ac:dyDescent="0.3">
      <c r="A4015" s="2">
        <v>4014</v>
      </c>
      <c r="B4015" s="4" t="s">
        <v>59</v>
      </c>
      <c r="C4015" s="3" t="str">
        <f>"TFC000002654"</f>
        <v>TFC000002654</v>
      </c>
      <c r="D4015" s="3" t="str">
        <f>"F900-20-2988-(AR 5.8)"</f>
        <v>F900-20-2988-(AR 5.8)</v>
      </c>
      <c r="E4015" s="3" t="str">
        <f>"Who is Muhammad Ali?"</f>
        <v>Who is Muhammad Ali?</v>
      </c>
      <c r="F4015" s="3" t="str">
        <f>"by James Buckley Jr. ; illustrated by Stephen Marchesi."</f>
        <v>by James Buckley Jr. ; illustrated by Stephen Marchesi.</v>
      </c>
      <c r="G4015" s="3" t="str">
        <f>"Penguin Workshop"</f>
        <v>Penguin Workshop</v>
      </c>
      <c r="H4015" s="2" t="str">
        <f>"2014"</f>
        <v>2014</v>
      </c>
      <c r="I4015" s="3" t="str">
        <f>""</f>
        <v/>
      </c>
    </row>
    <row r="4016" spans="1:9" x14ac:dyDescent="0.3">
      <c r="A4016" s="2">
        <v>4015</v>
      </c>
      <c r="B4016" s="4" t="s">
        <v>59</v>
      </c>
      <c r="C4016" s="3" t="str">
        <f>"TFC000002655"</f>
        <v>TFC000002655</v>
      </c>
      <c r="D4016" s="3" t="str">
        <f>"F900-20-2989-(AR 5.8)"</f>
        <v>F900-20-2989-(AR 5.8)</v>
      </c>
      <c r="E4016" s="3" t="str">
        <f>"Who was Harry Houdini?"</f>
        <v>Who was Harry Houdini?</v>
      </c>
      <c r="F4016" s="3" t="str">
        <f>"by Tui T. Sutherland ; illustrated by John O'Brien"</f>
        <v>by Tui T. Sutherland ; illustrated by John O'Brien</v>
      </c>
      <c r="G4016" s="3" t="str">
        <f>"Grosset &amp; Dunlap"</f>
        <v>Grosset &amp; Dunlap</v>
      </c>
      <c r="H4016" s="2" t="str">
        <f>"2002"</f>
        <v>2002</v>
      </c>
      <c r="I4016" s="3" t="str">
        <f>""</f>
        <v/>
      </c>
    </row>
    <row r="4017" spans="1:9" x14ac:dyDescent="0.3">
      <c r="A4017" s="2">
        <v>4016</v>
      </c>
      <c r="B4017" s="4" t="s">
        <v>59</v>
      </c>
      <c r="C4017" s="3" t="str">
        <f>"TFC000002656"</f>
        <v>TFC000002656</v>
      </c>
      <c r="D4017" s="3" t="str">
        <f>"F900-20-2990-(AR 5.8)"</f>
        <v>F900-20-2990-(AR 5.8)</v>
      </c>
      <c r="E4017" s="3" t="str">
        <f>"Who was Annie Oakley?"</f>
        <v>Who was Annie Oakley?</v>
      </c>
      <c r="F4017" s="3" t="str">
        <f>"by Stephanie Spinner ; illustrated by Larry Day"</f>
        <v>by Stephanie Spinner ; illustrated by Larry Day</v>
      </c>
      <c r="G4017" s="3" t="str">
        <f>"Grosset &amp; Dunlap"</f>
        <v>Grosset &amp; Dunlap</v>
      </c>
      <c r="H4017" s="2" t="str">
        <f>"2002"</f>
        <v>2002</v>
      </c>
      <c r="I4017" s="3" t="str">
        <f>""</f>
        <v/>
      </c>
    </row>
    <row r="4018" spans="1:9" x14ac:dyDescent="0.3">
      <c r="A4018" s="2">
        <v>4017</v>
      </c>
      <c r="B4018" s="4" t="s">
        <v>59</v>
      </c>
      <c r="C4018" s="3" t="str">
        <f>"TFC000002657"</f>
        <v>TFC000002657</v>
      </c>
      <c r="D4018" s="3" t="str">
        <f>"F900-20-2991-(AR 5.8)"</f>
        <v>F900-20-2991-(AR 5.8)</v>
      </c>
      <c r="E4018" s="3" t="str">
        <f>"Who was Jane Austen?"</f>
        <v>Who was Jane Austen?</v>
      </c>
      <c r="F4018" s="3" t="str">
        <f>"Sarah Fabiny ; illustrated by Jerry Hoare"</f>
        <v>Sarah Fabiny ; illustrated by Jerry Hoare</v>
      </c>
      <c r="G4018" s="3" t="str">
        <f>"Penguin Workshop"</f>
        <v>Penguin Workshop</v>
      </c>
      <c r="H4018" s="2" t="str">
        <f>"2017"</f>
        <v>2017</v>
      </c>
      <c r="I4018" s="3" t="str">
        <f>""</f>
        <v/>
      </c>
    </row>
    <row r="4019" spans="1:9" x14ac:dyDescent="0.3">
      <c r="A4019" s="2">
        <v>4018</v>
      </c>
      <c r="B4019" s="4" t="s">
        <v>59</v>
      </c>
      <c r="C4019" s="3" t="str">
        <f>"TFC000002658"</f>
        <v>TFC000002658</v>
      </c>
      <c r="D4019" s="3" t="str">
        <f>"F900-20-2992-(AR 5.8)"</f>
        <v>F900-20-2992-(AR 5.8)</v>
      </c>
      <c r="E4019" s="3" t="str">
        <f>"Who was Lewis Carroll?"</f>
        <v>Who was Lewis Carroll?</v>
      </c>
      <c r="F4019" s="3" t="str">
        <f>"Pam Pollack, Meg Belviso ; illustrated by Joseph J. M. Qiu"</f>
        <v>Pam Pollack, Meg Belviso ; illustrated by Joseph J. M. Qiu</v>
      </c>
      <c r="G4019" s="3" t="str">
        <f>"Penguin Workshop"</f>
        <v>Penguin Workshop</v>
      </c>
      <c r="H4019" s="2" t="str">
        <f>"2017"</f>
        <v>2017</v>
      </c>
      <c r="I4019" s="3" t="str">
        <f>""</f>
        <v/>
      </c>
    </row>
    <row r="4020" spans="1:9" x14ac:dyDescent="0.3">
      <c r="A4020" s="2">
        <v>4019</v>
      </c>
      <c r="B4020" s="4" t="s">
        <v>59</v>
      </c>
      <c r="C4020" s="3" t="str">
        <f>"TFC000002659"</f>
        <v>TFC000002659</v>
      </c>
      <c r="D4020" s="3" t="str">
        <f>"F900-20-2993-(AR 5.8)"</f>
        <v>F900-20-2993-(AR 5.8)</v>
      </c>
      <c r="E4020" s="3" t="str">
        <f>"Who Were the Brothers Grimm?"</f>
        <v>Who Were the Brothers Grimm?</v>
      </c>
      <c r="F4020" s="3" t="str">
        <f>"by Avery Reed ; illustrated by John O'Brien"</f>
        <v>by Avery Reed ; illustrated by John O'Brien</v>
      </c>
      <c r="G4020" s="3" t="str">
        <f>"Penguin Workshop"</f>
        <v>Penguin Workshop</v>
      </c>
      <c r="H4020" s="2" t="str">
        <f>"2015"</f>
        <v>2015</v>
      </c>
      <c r="I4020" s="3" t="str">
        <f>""</f>
        <v/>
      </c>
    </row>
    <row r="4021" spans="1:9" x14ac:dyDescent="0.3">
      <c r="A4021" s="2">
        <v>4020</v>
      </c>
      <c r="B4021" s="4" t="s">
        <v>59</v>
      </c>
      <c r="C4021" s="3" t="str">
        <f>"TFC000002918"</f>
        <v>TFC000002918</v>
      </c>
      <c r="D4021" s="3" t="str">
        <f>"F800-20-2977-(AR 5.8)"</f>
        <v>F800-20-2977-(AR 5.8)</v>
      </c>
      <c r="E4021" s="3" t="str">
        <f>"(The)horse and his boy"</f>
        <v>(The)horse and his boy</v>
      </c>
      <c r="F4021" s="3" t="str">
        <f>"by C.S. Lewis ; illustrated by Pauline Baynes"</f>
        <v>by C.S. Lewis ; illustrated by Pauline Baynes</v>
      </c>
      <c r="G4021" s="3" t="str">
        <f>"HarperTrophy"</f>
        <v>HarperTrophy</v>
      </c>
      <c r="H4021" s="2" t="str">
        <f>"2000"</f>
        <v>2000</v>
      </c>
      <c r="I4021" s="3" t="str">
        <f>""</f>
        <v/>
      </c>
    </row>
    <row r="4022" spans="1:9" x14ac:dyDescent="0.3">
      <c r="A4022" s="2">
        <v>4021</v>
      </c>
      <c r="B4022" s="4" t="s">
        <v>59</v>
      </c>
      <c r="C4022" s="3" t="str">
        <f>"TFC000002919"</f>
        <v>TFC000002919</v>
      </c>
      <c r="D4022" s="3" t="str">
        <f>"F400-20-2970-(AR 5.8)"</f>
        <v>F400-20-2970-(AR 5.8)</v>
      </c>
      <c r="E4022" s="3" t="str">
        <f>"Crocodile safari"</f>
        <v>Crocodile safari</v>
      </c>
      <c r="F4022" s="3" t="str">
        <f>"Jim Arnosky"</f>
        <v>Jim Arnosky</v>
      </c>
      <c r="G4022" s="3" t="str">
        <f>"Scholastic"</f>
        <v>Scholastic</v>
      </c>
      <c r="H4022" s="2" t="str">
        <f>"2009"</f>
        <v>2009</v>
      </c>
      <c r="I4022" s="3" t="str">
        <f>""</f>
        <v/>
      </c>
    </row>
    <row r="4023" spans="1:9" x14ac:dyDescent="0.3">
      <c r="A4023" s="2">
        <v>4022</v>
      </c>
      <c r="B4023" s="4" t="s">
        <v>59</v>
      </c>
      <c r="C4023" s="3" t="str">
        <f>"TFC000002920"</f>
        <v>TFC000002920</v>
      </c>
      <c r="D4023" s="3" t="str">
        <f>"F800-20-2978-(AR 5.8)"</f>
        <v>F800-20-2978-(AR 5.8)</v>
      </c>
      <c r="E4023" s="3" t="str">
        <f>"Julie of the wolves"</f>
        <v>Julie of the wolves</v>
      </c>
      <c r="F4023" s="3" t="str">
        <f>"by Jean Craighead Geirge ; pictures by John Schoenherr"</f>
        <v>by Jean Craighead Geirge ; pictures by John Schoenherr</v>
      </c>
      <c r="G4023" s="3" t="str">
        <f>"HarperTrophy"</f>
        <v>HarperTrophy</v>
      </c>
      <c r="H4023" s="2" t="str">
        <f>"1997"</f>
        <v>1997</v>
      </c>
      <c r="I4023" s="3" t="str">
        <f>""</f>
        <v/>
      </c>
    </row>
    <row r="4024" spans="1:9" x14ac:dyDescent="0.3">
      <c r="A4024" s="2">
        <v>4023</v>
      </c>
      <c r="B4024" s="4" t="s">
        <v>59</v>
      </c>
      <c r="C4024" s="3" t="str">
        <f>"TFC000003080"</f>
        <v>TFC000003080</v>
      </c>
      <c r="D4024" s="3" t="str">
        <f>"F900-20-2994-(AR 5.8)"</f>
        <v>F900-20-2994-(AR 5.8)</v>
      </c>
      <c r="E4024" s="3" t="str">
        <f>"All in a drop : how Antony van Leeuwenhoek discovered an invisible world"</f>
        <v>All in a drop : how Antony van Leeuwenhoek discovered an invisible world</v>
      </c>
      <c r="F4024" s="3" t="str">
        <f>"by Lori Alexander ; illustrated by Vivien Mildenberger"</f>
        <v>by Lori Alexander ; illustrated by Vivien Mildenberger</v>
      </c>
      <c r="G4024" s="3" t="str">
        <f>"Houghton Mifflin Harcourt"</f>
        <v>Houghton Mifflin Harcourt</v>
      </c>
      <c r="H4024" s="2" t="str">
        <f>"2019"</f>
        <v>2019</v>
      </c>
      <c r="I4024" s="3" t="str">
        <f>""</f>
        <v/>
      </c>
    </row>
    <row r="4025" spans="1:9" x14ac:dyDescent="0.3">
      <c r="A4025" s="2">
        <v>4024</v>
      </c>
      <c r="B4025" s="4" t="s">
        <v>59</v>
      </c>
      <c r="C4025" s="3" t="str">
        <f>"TFC000003106"</f>
        <v>TFC000003106</v>
      </c>
      <c r="D4025" s="3" t="str">
        <f>"F800-20-2979-(AR 5.8)"</f>
        <v>F800-20-2979-(AR 5.8)</v>
      </c>
      <c r="E4025" s="3" t="str">
        <f>"Lion down"</f>
        <v>Lion down</v>
      </c>
      <c r="F4025" s="3" t="str">
        <f>"Stuart Gibbs"</f>
        <v>Stuart Gibbs</v>
      </c>
      <c r="G4025" s="3" t="str">
        <f>"Simon &amp; Schuster Books for Young Readers"</f>
        <v>Simon &amp; Schuster Books for Young Readers</v>
      </c>
      <c r="H4025" s="2" t="str">
        <f>"2019"</f>
        <v>2019</v>
      </c>
      <c r="I4025" s="3" t="str">
        <f>""</f>
        <v/>
      </c>
    </row>
    <row r="4026" spans="1:9" x14ac:dyDescent="0.3">
      <c r="A4026" s="2">
        <v>4025</v>
      </c>
      <c r="B4026" s="4" t="s">
        <v>59</v>
      </c>
      <c r="C4026" s="3" t="str">
        <f>"TFC000004212"</f>
        <v>TFC000004212</v>
      </c>
      <c r="D4026" s="3" t="str">
        <f>"F700-22-0089-(AR 5.8)"</f>
        <v>F700-22-0089-(AR 5.8)</v>
      </c>
      <c r="E4026" s="3" t="str">
        <f>"What if you could spy like a narwhal!? : Explore the superpowers of amazing animals"</f>
        <v>What if you could spy like a narwhal!? : Explore the superpowers of amazing animals</v>
      </c>
      <c r="F4026" s="3" t="str">
        <f>"by Sandra Markle, illustrated by Howard McWilliam"</f>
        <v>by Sandra Markle, illustrated by Howard McWilliam</v>
      </c>
      <c r="G4026" s="3" t="str">
        <f>"Scholastic Inc"</f>
        <v>Scholastic Inc</v>
      </c>
      <c r="H4026" s="2" t="str">
        <f>"2021"</f>
        <v>2021</v>
      </c>
      <c r="I4026" s="3" t="str">
        <f>""</f>
        <v/>
      </c>
    </row>
    <row r="4027" spans="1:9" x14ac:dyDescent="0.3">
      <c r="A4027" s="2">
        <v>4026</v>
      </c>
      <c r="B4027" s="4" t="s">
        <v>59</v>
      </c>
      <c r="C4027" s="3" t="str">
        <f>"TFC000004248"</f>
        <v>TFC000004248</v>
      </c>
      <c r="D4027" s="3" t="str">
        <f>"F800-22-0078-(AR 5.8)"</f>
        <v>F800-22-0078-(AR 5.8)</v>
      </c>
      <c r="E4027" s="3" t="str">
        <f>"(The)Land of stories. Book 3, (A)Grimm warning"</f>
        <v>(The)Land of stories. Book 3, (A)Grimm warning</v>
      </c>
      <c r="F4027" s="3" t="str">
        <f>"by Chris Colfer, illustrated by Brandon Dorman"</f>
        <v>by Chris Colfer, illustrated by Brandon Dorman</v>
      </c>
      <c r="G4027" s="3" t="str">
        <f>"Little, Brown and Company"</f>
        <v>Little, Brown and Company</v>
      </c>
      <c r="H4027" s="2" t="str">
        <f>"2014"</f>
        <v>2014</v>
      </c>
      <c r="I4027" s="3" t="str">
        <f>""</f>
        <v/>
      </c>
    </row>
    <row r="4028" spans="1:9" x14ac:dyDescent="0.3">
      <c r="A4028" s="2">
        <v>4027</v>
      </c>
      <c r="B4028" s="4" t="s">
        <v>59</v>
      </c>
      <c r="C4028" s="3" t="str">
        <f>"TFC000004632"</f>
        <v>TFC000004632</v>
      </c>
      <c r="D4028" s="3" t="str">
        <f>"F800-22-0441-(AR5.8)"</f>
        <v>F800-22-0441-(AR5.8)</v>
      </c>
      <c r="E4028" s="3" t="str">
        <f>"Gallant"</f>
        <v>Gallant</v>
      </c>
      <c r="F4028" s="3" t="str">
        <f>"by V. E. Schwab"</f>
        <v>by V. E. Schwab</v>
      </c>
      <c r="G4028" s="3" t="str">
        <f>"Greenwillow Books"</f>
        <v>Greenwillow Books</v>
      </c>
      <c r="H4028" s="2" t="str">
        <f>"2022"</f>
        <v>2022</v>
      </c>
      <c r="I4028" s="3" t="str">
        <f>""</f>
        <v/>
      </c>
    </row>
    <row r="4029" spans="1:9" x14ac:dyDescent="0.3">
      <c r="A4029" s="2">
        <v>4028</v>
      </c>
      <c r="B4029" s="4" t="s">
        <v>59</v>
      </c>
      <c r="C4029" s="3" t="str">
        <f>"TFC000004517"</f>
        <v>TFC000004517</v>
      </c>
      <c r="D4029" s="3" t="str">
        <f>"F900-22-0326-(AR5.8)"</f>
        <v>F900-22-0326-(AR5.8)</v>
      </c>
      <c r="E4029" s="3" t="str">
        <f>"Harriet Tubman : interior illustrations by Gillian Flint"</f>
        <v>Harriet Tubman : interior illustrations by Gillian Flint</v>
      </c>
      <c r="F4029" s="3" t="str">
        <f>"written by Andrea Davis Pinkney"</f>
        <v>written by Andrea Davis Pinkney</v>
      </c>
      <c r="G4029" s="3" t="str">
        <f>"Philomel Books,"</f>
        <v>Philomel Books,</v>
      </c>
      <c r="H4029" s="2" t="str">
        <f>"2021"</f>
        <v>2021</v>
      </c>
      <c r="I4029" s="3" t="str">
        <f>""</f>
        <v/>
      </c>
    </row>
    <row r="4030" spans="1:9" x14ac:dyDescent="0.3">
      <c r="A4030" s="2">
        <v>4029</v>
      </c>
      <c r="B4030" s="4" t="s">
        <v>59</v>
      </c>
      <c r="C4030" s="3" t="str">
        <f>"TFC000004633"</f>
        <v>TFC000004633</v>
      </c>
      <c r="D4030" s="3" t="str">
        <f>"F800-22-0442-(AR5.8)"</f>
        <v>F800-22-0442-(AR5.8)</v>
      </c>
      <c r="E4030" s="3" t="str">
        <f>"Gearbreakers"</f>
        <v>Gearbreakers</v>
      </c>
      <c r="F4030" s="3" t="str">
        <f>"by Zoe Hana Mikuta"</f>
        <v>by Zoe Hana Mikuta</v>
      </c>
      <c r="G4030" s="3" t="str">
        <f>"Feiwel &amp; Friends"</f>
        <v>Feiwel &amp; Friends</v>
      </c>
      <c r="H4030" s="2" t="str">
        <f>"2021"</f>
        <v>2021</v>
      </c>
      <c r="I4030" s="3" t="str">
        <f>""</f>
        <v/>
      </c>
    </row>
    <row r="4031" spans="1:9" x14ac:dyDescent="0.3">
      <c r="A4031" s="2">
        <v>4030</v>
      </c>
      <c r="B4031" s="4" t="s">
        <v>59</v>
      </c>
      <c r="C4031" s="3" t="str">
        <f>"TFC000004589"</f>
        <v>TFC000004589</v>
      </c>
      <c r="D4031" s="3" t="str">
        <f>"F800-22-0398-(AR5.8)"</f>
        <v>F800-22-0398-(AR5.8)</v>
      </c>
      <c r="E4031" s="3" t="str">
        <f>"Star Wars : (The)High Republic Race to Crashpoint Tower"</f>
        <v>Star Wars : (The)High Republic Race to Crashpoint Tower</v>
      </c>
      <c r="F4031" s="3" t="str">
        <f>"by Daniel Jose Older"</f>
        <v>by Daniel Jose Older</v>
      </c>
      <c r="G4031" s="3" t="str">
        <f>"Disney Lucasfilms Press"</f>
        <v>Disney Lucasfilms Press</v>
      </c>
      <c r="H4031" s="2" t="str">
        <f>"2021"</f>
        <v>2021</v>
      </c>
      <c r="I4031" s="3" t="str">
        <f>""</f>
        <v/>
      </c>
    </row>
    <row r="4032" spans="1:9" x14ac:dyDescent="0.3">
      <c r="A4032" s="2">
        <v>4031</v>
      </c>
      <c r="B4032" s="4" t="s">
        <v>59</v>
      </c>
      <c r="C4032" s="3" t="str">
        <f>"TFC000004634"</f>
        <v>TFC000004634</v>
      </c>
      <c r="D4032" s="3" t="str">
        <f>"F600-22-0443-(AR5.8)"</f>
        <v>F600-22-0443-(AR5.8)</v>
      </c>
      <c r="E4032" s="3" t="str">
        <f>"(The)Illustion of Living : Bendy"</f>
        <v>(The)Illustion of Living : Bendy</v>
      </c>
      <c r="F4032" s="3" t="str">
        <f>"by Adrienne Kress."</f>
        <v>by Adrienne Kress.</v>
      </c>
      <c r="G4032" s="3" t="str">
        <f>"Afk"</f>
        <v>Afk</v>
      </c>
      <c r="H4032" s="2" t="str">
        <f>"2021"</f>
        <v>2021</v>
      </c>
      <c r="I4032" s="3" t="str">
        <f>""</f>
        <v/>
      </c>
    </row>
    <row r="4033" spans="1:9" x14ac:dyDescent="0.3">
      <c r="A4033" s="2">
        <v>4032</v>
      </c>
      <c r="B4033" s="4" t="s">
        <v>59</v>
      </c>
      <c r="C4033" s="3" t="str">
        <f>"TFC000004891"</f>
        <v>TFC000004891</v>
      </c>
      <c r="D4033" s="3" t="str">
        <f>"F800-22-0621-(AR5.8)"</f>
        <v>F800-22-0621-(AR5.8)</v>
      </c>
      <c r="E4033" s="3" t="str">
        <f>"(Disney Mulan)Before the sword : Mulan"</f>
        <v>(Disney Mulan)Before the sword : Mulan</v>
      </c>
      <c r="F4033" s="3" t="str">
        <f>"by Grace Lin"</f>
        <v>by Grace Lin</v>
      </c>
      <c r="G4033" s="3" t="str">
        <f>"Disney Press"</f>
        <v>Disney Press</v>
      </c>
      <c r="H4033" s="2" t="str">
        <f>"2020"</f>
        <v>2020</v>
      </c>
      <c r="I4033" s="3" t="str">
        <f>""</f>
        <v/>
      </c>
    </row>
    <row r="4034" spans="1:9" x14ac:dyDescent="0.3">
      <c r="A4034" s="2">
        <v>4033</v>
      </c>
      <c r="B4034" s="4" t="s">
        <v>59</v>
      </c>
      <c r="C4034" s="3" t="str">
        <f>"TFC000003158"</f>
        <v>TFC000003158</v>
      </c>
      <c r="D4034" s="3" t="str">
        <f>"F800-20-2980-1(AR 5.8)"</f>
        <v>F800-20-2980-1(AR 5.8)</v>
      </c>
      <c r="E4034" s="3" t="str">
        <f>"Waste of space : a moon base alpha novel"</f>
        <v>Waste of space : a moon base alpha novel</v>
      </c>
      <c r="F4034" s="3" t="str">
        <f>"Stuart Gibbs"</f>
        <v>Stuart Gibbs</v>
      </c>
      <c r="G4034" s="3" t="str">
        <f>"Simon &amp; Schuster Books for Young Readers"</f>
        <v>Simon &amp; Schuster Books for Young Readers</v>
      </c>
      <c r="H4034" s="2" t="str">
        <f>"2018"</f>
        <v>2018</v>
      </c>
      <c r="I4034" s="3" t="str">
        <f>""</f>
        <v/>
      </c>
    </row>
    <row r="4035" spans="1:9" x14ac:dyDescent="0.3">
      <c r="A4035" s="2">
        <v>4034</v>
      </c>
      <c r="B4035" s="4" t="s">
        <v>60</v>
      </c>
      <c r="C4035" s="3" t="str">
        <f>"TFC000002660"</f>
        <v>TFC000002660</v>
      </c>
      <c r="D4035" s="3" t="str">
        <f>"F300-20-2995-(AR 5.9)"</f>
        <v>F300-20-2995-(AR 5.9)</v>
      </c>
      <c r="E4035" s="3" t="str">
        <f>"What is the Panama Canal?"</f>
        <v>What is the Panama Canal?</v>
      </c>
      <c r="F4035" s="3" t="str">
        <f>"by Janet B. Pascal ; illustrated by Tim Foley"</f>
        <v>by Janet B. Pascal ; illustrated by Tim Foley</v>
      </c>
      <c r="G4035" s="3" t="str">
        <f>"Penguin Workshop"</f>
        <v>Penguin Workshop</v>
      </c>
      <c r="H4035" s="2" t="str">
        <f>"2015"</f>
        <v>2015</v>
      </c>
      <c r="I4035" s="3" t="str">
        <f>""</f>
        <v/>
      </c>
    </row>
    <row r="4036" spans="1:9" x14ac:dyDescent="0.3">
      <c r="A4036" s="2">
        <v>4035</v>
      </c>
      <c r="B4036" s="4" t="s">
        <v>60</v>
      </c>
      <c r="C4036" s="3" t="str">
        <f>"TFC000002661"</f>
        <v>TFC000002661</v>
      </c>
      <c r="D4036" s="3" t="str">
        <f>"F300-20-2996-(AR 5.9)"</f>
        <v>F300-20-2996-(AR 5.9)</v>
      </c>
      <c r="E4036" s="3" t="str">
        <f>"Every falling star : the true story of how I survived and escaped North Korea"</f>
        <v>Every falling star : the true story of how I survived and escaped North Korea</v>
      </c>
      <c r="F4036" s="3" t="str">
        <f>"by Sungju Lee, Susan McClelland"</f>
        <v>by Sungju Lee, Susan McClelland</v>
      </c>
      <c r="G4036" s="3" t="str">
        <f>"Amulet Books"</f>
        <v>Amulet Books</v>
      </c>
      <c r="H4036" s="2" t="str">
        <f>"2017"</f>
        <v>2017</v>
      </c>
      <c r="I4036" s="3" t="str">
        <f>""</f>
        <v/>
      </c>
    </row>
    <row r="4037" spans="1:9" x14ac:dyDescent="0.3">
      <c r="A4037" s="2">
        <v>4036</v>
      </c>
      <c r="B4037" s="4" t="s">
        <v>60</v>
      </c>
      <c r="C4037" s="3" t="str">
        <f>"TFC000002664"</f>
        <v>TFC000002664</v>
      </c>
      <c r="D4037" s="3" t="str">
        <f>"F800-20-2999-(AR 5.9)"</f>
        <v>F800-20-2999-(AR 5.9)</v>
      </c>
      <c r="E4037" s="3" t="str">
        <f>"(The)view from saturday"</f>
        <v>(The)view from saturday</v>
      </c>
      <c r="F4037" s="3" t="str">
        <f>"E. L. Konigsburg"</f>
        <v>E. L. Konigsburg</v>
      </c>
      <c r="G4037" s="3" t="str">
        <f>"Atheneum Book for Young Readers"</f>
        <v>Atheneum Book for Young Readers</v>
      </c>
      <c r="H4037" s="2" t="str">
        <f>"1998"</f>
        <v>1998</v>
      </c>
      <c r="I4037" s="3" t="str">
        <f>""</f>
        <v/>
      </c>
    </row>
    <row r="4038" spans="1:9" x14ac:dyDescent="0.3">
      <c r="A4038" s="2">
        <v>4037</v>
      </c>
      <c r="B4038" s="4" t="s">
        <v>60</v>
      </c>
      <c r="C4038" s="3" t="str">
        <f>"TFC000002665"</f>
        <v>TFC000002665</v>
      </c>
      <c r="D4038" s="3" t="str">
        <f>"F800-20-3000-(AR 5.9)"</f>
        <v>F800-20-3000-(AR 5.9)</v>
      </c>
      <c r="E4038" s="3" t="str">
        <f>"(The)voyage of the Dawn Treader"</f>
        <v>(The)voyage of the Dawn Treader</v>
      </c>
      <c r="F4038" s="3" t="str">
        <f>"by C.S. Lewis ; illustrated by Pauline Baynes"</f>
        <v>by C.S. Lewis ; illustrated by Pauline Baynes</v>
      </c>
      <c r="G4038" s="3" t="str">
        <f>"Horper Trophy"</f>
        <v>Horper Trophy</v>
      </c>
      <c r="H4038" s="2" t="str">
        <f>"1994"</f>
        <v>1994</v>
      </c>
      <c r="I4038" s="3" t="str">
        <f>""</f>
        <v/>
      </c>
    </row>
    <row r="4039" spans="1:9" x14ac:dyDescent="0.3">
      <c r="A4039" s="2">
        <v>4038</v>
      </c>
      <c r="B4039" s="4" t="s">
        <v>60</v>
      </c>
      <c r="C4039" s="3" t="str">
        <f>"TFC000002666"</f>
        <v>TFC000002666</v>
      </c>
      <c r="D4039" s="3" t="str">
        <f>"F800-20-3001-(AR 5.9)"</f>
        <v>F800-20-3001-(AR 5.9)</v>
      </c>
      <c r="E4039" s="3" t="str">
        <f>"Abel's island"</f>
        <v>Abel's island</v>
      </c>
      <c r="F4039" s="3" t="str">
        <f>"William Steig"</f>
        <v>William Steig</v>
      </c>
      <c r="G4039" s="3" t="str">
        <f>"Farrar Straus Giroux"</f>
        <v>Farrar Straus Giroux</v>
      </c>
      <c r="H4039" s="2" t="str">
        <f>"2007"</f>
        <v>2007</v>
      </c>
      <c r="I4039" s="3" t="str">
        <f>""</f>
        <v/>
      </c>
    </row>
    <row r="4040" spans="1:9" x14ac:dyDescent="0.3">
      <c r="A4040" s="2">
        <v>4039</v>
      </c>
      <c r="B4040" s="4" t="s">
        <v>60</v>
      </c>
      <c r="C4040" s="3" t="str">
        <f>"TFC000002668"</f>
        <v>TFC000002668</v>
      </c>
      <c r="D4040" s="3" t="str">
        <f>"F800-20-3003-(AR 5.9)"</f>
        <v>F800-20-3003-(AR 5.9)</v>
      </c>
      <c r="E4040" s="3" t="str">
        <f>"(The)tombs of atuan"</f>
        <v>(The)tombs of atuan</v>
      </c>
      <c r="F4040" s="3" t="str">
        <f>"Ursula K. Le Guin"</f>
        <v>Ursula K. Le Guin</v>
      </c>
      <c r="G4040" s="3" t="str">
        <f>"Atheneum Books for Young Readers"</f>
        <v>Atheneum Books for Young Readers</v>
      </c>
      <c r="H4040" s="2" t="str">
        <f>"2012"</f>
        <v>2012</v>
      </c>
      <c r="I4040" s="3" t="str">
        <f>""</f>
        <v/>
      </c>
    </row>
    <row r="4041" spans="1:9" x14ac:dyDescent="0.3">
      <c r="A4041" s="2">
        <v>4040</v>
      </c>
      <c r="B4041" s="4" t="s">
        <v>60</v>
      </c>
      <c r="C4041" s="3" t="str">
        <f>"TFC000002669"</f>
        <v>TFC000002669</v>
      </c>
      <c r="D4041" s="3" t="str">
        <f>"F800-20-3004-(AR 5.9)"</f>
        <v>F800-20-3004-(AR 5.9)</v>
      </c>
      <c r="E4041" s="3" t="str">
        <f>"Can adults become human?"</f>
        <v>Can adults become human?</v>
      </c>
      <c r="F4041" s="3" t="str">
        <f>"by Jamie Kelly"</f>
        <v>by Jamie Kelly</v>
      </c>
      <c r="G4041" s="3" t="str">
        <f>"Scholastic"</f>
        <v>Scholastic</v>
      </c>
      <c r="H4041" s="2" t="str">
        <f>"2006"</f>
        <v>2006</v>
      </c>
      <c r="I4041" s="3" t="str">
        <f>""</f>
        <v/>
      </c>
    </row>
    <row r="4042" spans="1:9" x14ac:dyDescent="0.3">
      <c r="A4042" s="2">
        <v>4041</v>
      </c>
      <c r="B4042" s="4" t="s">
        <v>60</v>
      </c>
      <c r="C4042" s="3" t="str">
        <f>"TFC000002670"</f>
        <v>TFC000002670</v>
      </c>
      <c r="D4042" s="3" t="str">
        <f>"F800-20-3005-(AR 5.9)"</f>
        <v>F800-20-3005-(AR 5.9)</v>
      </c>
      <c r="E4042" s="3" t="str">
        <f>"(The)higher power of Lucky"</f>
        <v>(The)higher power of Lucky</v>
      </c>
      <c r="F4042" s="3" t="str">
        <f>"by Susan Patron ; illustrations by Matt Phelan"</f>
        <v>by Susan Patron ; illustrations by Matt Phelan</v>
      </c>
      <c r="G4042" s="3" t="str">
        <f>"Atheneum Books for Young Readers"</f>
        <v>Atheneum Books for Young Readers</v>
      </c>
      <c r="H4042" s="2" t="str">
        <f>"2009"</f>
        <v>2009</v>
      </c>
      <c r="I4042" s="3" t="str">
        <f>""</f>
        <v/>
      </c>
    </row>
    <row r="4043" spans="1:9" x14ac:dyDescent="0.3">
      <c r="A4043" s="2">
        <v>4042</v>
      </c>
      <c r="B4043" s="4" t="s">
        <v>60</v>
      </c>
      <c r="C4043" s="3" t="str">
        <f>"TFC000002671"</f>
        <v>TFC000002671</v>
      </c>
      <c r="D4043" s="3" t="str">
        <f>"F800-20-3006-(AR 5.9)"</f>
        <v>F800-20-3006-(AR 5.9)</v>
      </c>
      <c r="E4043" s="3" t="str">
        <f>"(The)higher power of lucky"</f>
        <v>(The)higher power of lucky</v>
      </c>
      <c r="F4043" s="3" t="str">
        <f>"Susan Patron ; illustrated by Matt Phelan"</f>
        <v>Susan Patron ; illustrated by Matt Phelan</v>
      </c>
      <c r="G4043" s="3" t="str">
        <f>"Atheneum Books for Young Readers"</f>
        <v>Atheneum Books for Young Readers</v>
      </c>
      <c r="H4043" s="2" t="str">
        <f>"2006"</f>
        <v>2006</v>
      </c>
      <c r="I4043" s="3" t="str">
        <f>""</f>
        <v/>
      </c>
    </row>
    <row r="4044" spans="1:9" x14ac:dyDescent="0.3">
      <c r="A4044" s="2">
        <v>4043</v>
      </c>
      <c r="B4044" s="4" t="s">
        <v>60</v>
      </c>
      <c r="C4044" s="3" t="str">
        <f>"TFC000002672"</f>
        <v>TFC000002672</v>
      </c>
      <c r="D4044" s="3" t="str">
        <f>"F800-20-3007-(AR 5.9)"</f>
        <v>F800-20-3007-(AR 5.9)</v>
      </c>
      <c r="E4044" s="3" t="str">
        <f>"Brian's winter"</f>
        <v>Brian's winter</v>
      </c>
      <c r="F4044" s="3" t="str">
        <f>"Gary Paulsen"</f>
        <v>Gary Paulsen</v>
      </c>
      <c r="G4044" s="3" t="str">
        <f>"Ember"</f>
        <v>Ember</v>
      </c>
      <c r="H4044" s="2" t="str">
        <f>"2017"</f>
        <v>2017</v>
      </c>
      <c r="I4044" s="3" t="str">
        <f>""</f>
        <v/>
      </c>
    </row>
    <row r="4045" spans="1:9" x14ac:dyDescent="0.3">
      <c r="A4045" s="2">
        <v>4044</v>
      </c>
      <c r="B4045" s="4" t="s">
        <v>60</v>
      </c>
      <c r="C4045" s="3" t="str">
        <f>"TFC000002673"</f>
        <v>TFC000002673</v>
      </c>
      <c r="D4045" s="3" t="str">
        <f>"F800-20-3008-(AR 5.9)"</f>
        <v>F800-20-3008-(AR 5.9)</v>
      </c>
      <c r="E4045" s="3" t="str">
        <f>"(The)wednesday wars"</f>
        <v>(The)wednesday wars</v>
      </c>
      <c r="F4045" s="3" t="str">
        <f>"Gary D. Schmidt"</f>
        <v>Gary D. Schmidt</v>
      </c>
      <c r="G4045" s="3" t="str">
        <f>"Houghton Mifflin Harcourt"</f>
        <v>Houghton Mifflin Harcourt</v>
      </c>
      <c r="H4045" s="2" t="str">
        <f>"2007"</f>
        <v>2007</v>
      </c>
      <c r="I4045" s="3" t="str">
        <f>""</f>
        <v/>
      </c>
    </row>
    <row r="4046" spans="1:9" x14ac:dyDescent="0.3">
      <c r="A4046" s="2">
        <v>4045</v>
      </c>
      <c r="B4046" s="4" t="s">
        <v>60</v>
      </c>
      <c r="C4046" s="3" t="str">
        <f>"TFC000002674"</f>
        <v>TFC000002674</v>
      </c>
      <c r="D4046" s="3" t="str">
        <f>"F900-20-3009-(AR 5.9)"</f>
        <v>F900-20-3009-(AR 5.9)</v>
      </c>
      <c r="E4046" s="3" t="str">
        <f>"What was the Boston Tea Party?"</f>
        <v>What was the Boston Tea Party?</v>
      </c>
      <c r="F4046" s="3" t="str">
        <f>"by Kathleen Krull ; illustrated by Lauren Mortimer"</f>
        <v>by Kathleen Krull ; illustrated by Lauren Mortimer</v>
      </c>
      <c r="G4046" s="3" t="str">
        <f>"Penguin Workshop"</f>
        <v>Penguin Workshop</v>
      </c>
      <c r="H4046" s="2" t="str">
        <f>"2013"</f>
        <v>2013</v>
      </c>
      <c r="I4046" s="3" t="str">
        <f>""</f>
        <v/>
      </c>
    </row>
    <row r="4047" spans="1:9" x14ac:dyDescent="0.3">
      <c r="A4047" s="2">
        <v>4046</v>
      </c>
      <c r="B4047" s="4" t="s">
        <v>60</v>
      </c>
      <c r="C4047" s="3" t="str">
        <f>"TFC000002675"</f>
        <v>TFC000002675</v>
      </c>
      <c r="D4047" s="3" t="str">
        <f>"F900-20-3010-(AR 5.9)"</f>
        <v>F900-20-3010-(AR 5.9)</v>
      </c>
      <c r="E4047" s="3" t="str">
        <f>"Through my eyes"</f>
        <v>Through my eyes</v>
      </c>
      <c r="F4047" s="3" t="str">
        <f>"Ruby Bridges"</f>
        <v>Ruby Bridges</v>
      </c>
      <c r="G4047" s="3" t="str">
        <f>"Scholastic Press"</f>
        <v>Scholastic Press</v>
      </c>
      <c r="H4047" s="2" t="str">
        <f>"1999"</f>
        <v>1999</v>
      </c>
      <c r="I4047" s="3" t="str">
        <f>""</f>
        <v/>
      </c>
    </row>
    <row r="4048" spans="1:9" x14ac:dyDescent="0.3">
      <c r="A4048" s="2">
        <v>4047</v>
      </c>
      <c r="B4048" s="4" t="s">
        <v>60</v>
      </c>
      <c r="C4048" s="3" t="str">
        <f>"TFC000002676"</f>
        <v>TFC000002676</v>
      </c>
      <c r="D4048" s="3" t="str">
        <f>"F900-20-3011-(AR 5.9)"</f>
        <v>F900-20-3011-(AR 5.9)</v>
      </c>
      <c r="E4048" s="3" t="str">
        <f>"Who was Nelson Mandela?"</f>
        <v>Who was Nelson Mandela?</v>
      </c>
      <c r="F4048" s="3" t="str">
        <f>"by Pam Pollack, Meg Belviso ; illustrated by Stephen Marchesi"</f>
        <v>by Pam Pollack, Meg Belviso ; illustrated by Stephen Marchesi</v>
      </c>
      <c r="G4048" s="3" t="str">
        <f>"Penguin Workshop"</f>
        <v>Penguin Workshop</v>
      </c>
      <c r="H4048" s="2" t="str">
        <f>"2015"</f>
        <v>2015</v>
      </c>
      <c r="I4048" s="3" t="str">
        <f>""</f>
        <v/>
      </c>
    </row>
    <row r="4049" spans="1:9" x14ac:dyDescent="0.3">
      <c r="A4049" s="2">
        <v>4048</v>
      </c>
      <c r="B4049" s="4" t="s">
        <v>60</v>
      </c>
      <c r="C4049" s="3" t="str">
        <f>"TFC000002677"</f>
        <v>TFC000002677</v>
      </c>
      <c r="D4049" s="3" t="str">
        <f>"F900-20-3012-(AR 5.9)"</f>
        <v>F900-20-3012-(AR 5.9)</v>
      </c>
      <c r="E4049" s="3" t="str">
        <f>"Who was Gandhi?"</f>
        <v>Who was Gandhi?</v>
      </c>
      <c r="F4049" s="3" t="str">
        <f>"by Dana Meachen Rau ; illustrated by Jerry Hoare"</f>
        <v>by Dana Meachen Rau ; illustrated by Jerry Hoare</v>
      </c>
      <c r="G4049" s="3" t="str">
        <f>"Penguin Workshop"</f>
        <v>Penguin Workshop</v>
      </c>
      <c r="H4049" s="2" t="str">
        <f>"2015"</f>
        <v>2015</v>
      </c>
      <c r="I4049" s="3" t="str">
        <f>""</f>
        <v/>
      </c>
    </row>
    <row r="4050" spans="1:9" x14ac:dyDescent="0.3">
      <c r="A4050" s="2">
        <v>4049</v>
      </c>
      <c r="B4050" s="4" t="s">
        <v>60</v>
      </c>
      <c r="C4050" s="3" t="str">
        <f>"TFC000002678"</f>
        <v>TFC000002678</v>
      </c>
      <c r="D4050" s="3" t="str">
        <f>"F900-20-3013-(AR 5.9)"</f>
        <v>F900-20-3013-(AR 5.9)</v>
      </c>
      <c r="E4050" s="3" t="str">
        <f>"Who was Henry VIII?"</f>
        <v>Who was Henry VIII?</v>
      </c>
      <c r="F4050" s="3" t="str">
        <f>"by Ellen Labrecque ; illustrated by Jake Murray"</f>
        <v>by Ellen Labrecque ; illustrated by Jake Murray</v>
      </c>
      <c r="G4050" s="3" t="str">
        <f>"Penguin Workshop"</f>
        <v>Penguin Workshop</v>
      </c>
      <c r="H4050" s="2" t="str">
        <f>"2018"</f>
        <v>2018</v>
      </c>
      <c r="I4050" s="3" t="str">
        <f>""</f>
        <v/>
      </c>
    </row>
    <row r="4051" spans="1:9" x14ac:dyDescent="0.3">
      <c r="A4051" s="2">
        <v>4050</v>
      </c>
      <c r="B4051" s="4" t="s">
        <v>60</v>
      </c>
      <c r="C4051" s="3" t="str">
        <f>"TFC000002679"</f>
        <v>TFC000002679</v>
      </c>
      <c r="D4051" s="3" t="str">
        <f>"F900-20-3014-(AR 5.9)"</f>
        <v>F900-20-3014-(AR 5.9)</v>
      </c>
      <c r="E4051" s="3" t="str">
        <f>"Who was George Washington Carver?"</f>
        <v>Who was George Washington Carver?</v>
      </c>
      <c r="F4051" s="3" t="str">
        <f>"by Jim Gigliotti ; illustrated by Stephen Marchesi"</f>
        <v>by Jim Gigliotti ; illustrated by Stephen Marchesi</v>
      </c>
      <c r="G4051" s="3" t="str">
        <f>"Penguin Workshop"</f>
        <v>Penguin Workshop</v>
      </c>
      <c r="H4051" s="2" t="str">
        <f>"2015"</f>
        <v>2015</v>
      </c>
      <c r="I4051" s="3" t="str">
        <f>""</f>
        <v/>
      </c>
    </row>
    <row r="4052" spans="1:9" x14ac:dyDescent="0.3">
      <c r="A4052" s="2">
        <v>4051</v>
      </c>
      <c r="B4052" s="4" t="s">
        <v>60</v>
      </c>
      <c r="C4052" s="3" t="str">
        <f>"TFC000002680"</f>
        <v>TFC000002680</v>
      </c>
      <c r="D4052" s="3" t="str">
        <f>"F900-20-3015-(AR 5.9)"</f>
        <v>F900-20-3015-(AR 5.9)</v>
      </c>
      <c r="E4052" s="3" t="str">
        <f>"Who was Sally Ride?"</f>
        <v>Who was Sally Ride?</v>
      </c>
      <c r="F4052" s="3" t="str">
        <f>"by Megan Stine ; illustrated by Ted Hammond"</f>
        <v>by Megan Stine ; illustrated by Ted Hammond</v>
      </c>
      <c r="G4052" s="3" t="str">
        <f>"Grosset &amp; Dunlap"</f>
        <v>Grosset &amp; Dunlap</v>
      </c>
      <c r="H4052" s="2" t="str">
        <f>"2013"</f>
        <v>2013</v>
      </c>
      <c r="I4052" s="3" t="str">
        <f>""</f>
        <v/>
      </c>
    </row>
    <row r="4053" spans="1:9" x14ac:dyDescent="0.3">
      <c r="A4053" s="2">
        <v>4052</v>
      </c>
      <c r="B4053" s="4" t="s">
        <v>60</v>
      </c>
      <c r="C4053" s="3" t="str">
        <f>"TFC000002681"</f>
        <v>TFC000002681</v>
      </c>
      <c r="D4053" s="3" t="str">
        <f>"F900-20-3016-(AR 5.9)"</f>
        <v>F900-20-3016-(AR 5.9)</v>
      </c>
      <c r="E4053" s="3" t="str">
        <f>"Who was Isaac Newton?"</f>
        <v>Who was Isaac Newton?</v>
      </c>
      <c r="F4053" s="3" t="str">
        <f>"by Janet B. Pascal ; illustrated by Tim Foley"</f>
        <v>by Janet B. Pascal ; illustrated by Tim Foley</v>
      </c>
      <c r="G4053" s="3" t="str">
        <f>"Penguin Workshop"</f>
        <v>Penguin Workshop</v>
      </c>
      <c r="H4053" s="2" t="str">
        <f>"2015"</f>
        <v>2015</v>
      </c>
      <c r="I4053" s="3" t="str">
        <f>""</f>
        <v/>
      </c>
    </row>
    <row r="4054" spans="1:9" x14ac:dyDescent="0.3">
      <c r="A4054" s="2">
        <v>4053</v>
      </c>
      <c r="B4054" s="4" t="s">
        <v>60</v>
      </c>
      <c r="C4054" s="3" t="str">
        <f>"TFC000002682"</f>
        <v>TFC000002682</v>
      </c>
      <c r="D4054" s="3" t="str">
        <f>"F900-20-3017-(AR 5.9)"</f>
        <v>F900-20-3017-(AR 5.9)</v>
      </c>
      <c r="E4054" s="3" t="str">
        <f>"Duke Ellington"</f>
        <v>Duke Ellington</v>
      </c>
      <c r="F4054" s="3" t="str">
        <f>"written and illustrated by Mike Venezia"</f>
        <v>written and illustrated by Mike Venezia</v>
      </c>
      <c r="G4054" s="3" t="str">
        <f>"Children's Press"</f>
        <v>Children's Press</v>
      </c>
      <c r="H4054" s="2" t="str">
        <f>"2018"</f>
        <v>2018</v>
      </c>
      <c r="I4054" s="3" t="str">
        <f>""</f>
        <v/>
      </c>
    </row>
    <row r="4055" spans="1:9" x14ac:dyDescent="0.3">
      <c r="A4055" s="2">
        <v>4054</v>
      </c>
      <c r="B4055" s="4" t="s">
        <v>60</v>
      </c>
      <c r="C4055" s="3" t="str">
        <f>"TFC000002683"</f>
        <v>TFC000002683</v>
      </c>
      <c r="D4055" s="3" t="str">
        <f>"F900-20-3018-(AR 5.9)"</f>
        <v>F900-20-3018-(AR 5.9)</v>
      </c>
      <c r="E4055" s="3" t="str">
        <f>"Who was Alfred Hitchcock?"</f>
        <v>Who was Alfred Hitchcock?</v>
      </c>
      <c r="F4055" s="3" t="str">
        <f>"by Pam Pollack, Meg Belviso ; illustrated by Jonathan Moore"</f>
        <v>by Pam Pollack, Meg Belviso ; illustrated by Jonathan Moore</v>
      </c>
      <c r="G4055" s="3" t="str">
        <f>"Penguin Workshop"</f>
        <v>Penguin Workshop</v>
      </c>
      <c r="H4055" s="2" t="str">
        <f>"2014"</f>
        <v>2014</v>
      </c>
      <c r="I4055" s="3" t="str">
        <f>""</f>
        <v/>
      </c>
    </row>
    <row r="4056" spans="1:9" x14ac:dyDescent="0.3">
      <c r="A4056" s="2">
        <v>4055</v>
      </c>
      <c r="B4056" s="4" t="s">
        <v>60</v>
      </c>
      <c r="C4056" s="3" t="str">
        <f>"TFC000002685"</f>
        <v>TFC000002685</v>
      </c>
      <c r="D4056" s="3" t="str">
        <f>"F900-20-3020-(AR 5.9)"</f>
        <v>F900-20-3020-(AR 5.9)</v>
      </c>
      <c r="E4056" s="3" t="str">
        <f>"Who was Jesse Owens?"</f>
        <v>Who was Jesse Owens?</v>
      </c>
      <c r="F4056" s="3" t="str">
        <f>"by James Buckley Jr. ; illustrated by Gregory Copeland"</f>
        <v>by James Buckley Jr. ; illustrated by Gregory Copeland</v>
      </c>
      <c r="G4056" s="3" t="str">
        <f>"Penguin Workshop"</f>
        <v>Penguin Workshop</v>
      </c>
      <c r="H4056" s="2" t="str">
        <f>"2015"</f>
        <v>2015</v>
      </c>
      <c r="I4056" s="3" t="str">
        <f>""</f>
        <v/>
      </c>
    </row>
    <row r="4057" spans="1:9" x14ac:dyDescent="0.3">
      <c r="A4057" s="2">
        <v>4056</v>
      </c>
      <c r="B4057" s="4" t="s">
        <v>60</v>
      </c>
      <c r="C4057" s="3" t="str">
        <f>"TFC000004250"</f>
        <v>TFC000004250</v>
      </c>
      <c r="D4057" s="3" t="str">
        <f>"F800-22-0079-(AR 5.9)=2"</f>
        <v>F800-22-0079-(AR 5.9)=2</v>
      </c>
      <c r="E4057" s="3" t="str">
        <f>"(The)Land of stories. Book 5, An author's odyssey"</f>
        <v>(The)Land of stories. Book 5, An author's odyssey</v>
      </c>
      <c r="F4057" s="3" t="str">
        <f>"by Chris Colfer, illustrated by Brandon Dorman"</f>
        <v>by Chris Colfer, illustrated by Brandon Dorman</v>
      </c>
      <c r="G4057" s="3" t="str">
        <f>"Little, Brown and Company"</f>
        <v>Little, Brown and Company</v>
      </c>
      <c r="H4057" s="2" t="str">
        <f>"2017"</f>
        <v>2017</v>
      </c>
      <c r="I4057" s="3" t="str">
        <f>""</f>
        <v/>
      </c>
    </row>
    <row r="4058" spans="1:9" x14ac:dyDescent="0.3">
      <c r="A4058" s="2">
        <v>4057</v>
      </c>
      <c r="B4058" s="4" t="s">
        <v>60</v>
      </c>
      <c r="C4058" s="3" t="str">
        <f>"TFC000003834"</f>
        <v>TFC000003834</v>
      </c>
      <c r="D4058" s="3" t="str">
        <f>"F800-21-0991-(AR 5.9)"</f>
        <v>F800-21-0991-(AR 5.9)</v>
      </c>
      <c r="E4058" s="3" t="str">
        <f>"Camp jupiter classified : A probatio's Journal"</f>
        <v>Camp jupiter classified : A probatio's Journal</v>
      </c>
      <c r="F4058" s="3" t="str">
        <f>"by Rick Riordan"</f>
        <v>by Rick Riordan</v>
      </c>
      <c r="G4058" s="3" t="str">
        <f>"Disney"</f>
        <v>Disney</v>
      </c>
      <c r="H4058" s="2" t="str">
        <f>"2020"</f>
        <v>2020</v>
      </c>
      <c r="I4058" s="3" t="str">
        <f>""</f>
        <v/>
      </c>
    </row>
    <row r="4059" spans="1:9" x14ac:dyDescent="0.3">
      <c r="A4059" s="2">
        <v>4058</v>
      </c>
      <c r="B4059" s="4" t="s">
        <v>60</v>
      </c>
      <c r="C4059" s="3" t="str">
        <f>"TFC000003897"</f>
        <v>TFC000003897</v>
      </c>
      <c r="D4059" s="3" t="str">
        <f>"F800-21-0997-(AR 5.9)"</f>
        <v>F800-21-0997-(AR 5.9)</v>
      </c>
      <c r="E4059" s="3" t="str">
        <f>"(A)Tale of Sorcery.."</f>
        <v>(A)Tale of Sorcery..</v>
      </c>
      <c r="F4059" s="3" t="str">
        <f>"Chris Colfer, illustrated by Brandon Dorman"</f>
        <v>Chris Colfer, illustrated by Brandon Dorman</v>
      </c>
      <c r="G4059" s="3" t="str">
        <f>"Little Brown and Company"</f>
        <v>Little Brown and Company</v>
      </c>
      <c r="H4059" s="2" t="str">
        <f>"2021"</f>
        <v>2021</v>
      </c>
      <c r="I4059" s="3" t="str">
        <f>""</f>
        <v/>
      </c>
    </row>
    <row r="4060" spans="1:9" x14ac:dyDescent="0.3">
      <c r="A4060" s="2">
        <v>4059</v>
      </c>
      <c r="B4060" s="4" t="s">
        <v>60</v>
      </c>
      <c r="C4060" s="3" t="str">
        <f>"TFC000004590"</f>
        <v>TFC000004590</v>
      </c>
      <c r="D4060" s="3" t="str">
        <f>"F300-22-0399-(AR5.9)"</f>
        <v>F300-22-0399-(AR5.9)</v>
      </c>
      <c r="E4060" s="3" t="str">
        <f>"Do the Work! Quality Education"</f>
        <v>Do the Work! Quality Education</v>
      </c>
      <c r="F4060" s="3" t="str">
        <f>"by Julie Knutson"</f>
        <v>by Julie Knutson</v>
      </c>
      <c r="G4060" s="3" t="str">
        <f>"Cherry Lake Publishing"</f>
        <v>Cherry Lake Publishing</v>
      </c>
      <c r="H4060" s="2" t="str">
        <f>"2022"</f>
        <v>2022</v>
      </c>
      <c r="I4060" s="3" t="str">
        <f>""</f>
        <v/>
      </c>
    </row>
    <row r="4061" spans="1:9" x14ac:dyDescent="0.3">
      <c r="A4061" s="2">
        <v>4060</v>
      </c>
      <c r="B4061" s="4" t="s">
        <v>60</v>
      </c>
      <c r="C4061" s="3" t="str">
        <f>"TFC000004591"</f>
        <v>TFC000004591</v>
      </c>
      <c r="D4061" s="3" t="str">
        <f>"F800-22-0400-(AR5.9)"</f>
        <v>F800-22-0400-(AR5.9)</v>
      </c>
      <c r="E4061" s="3" t="str">
        <f>"Glitter Gets Everywhere"</f>
        <v>Glitter Gets Everywhere</v>
      </c>
      <c r="F4061" s="3" t="str">
        <f>"by Yvette Clark"</f>
        <v>by Yvette Clark</v>
      </c>
      <c r="G4061" s="3" t="str">
        <f>"Harper"</f>
        <v>Harper</v>
      </c>
      <c r="H4061" s="2" t="str">
        <f>"2021"</f>
        <v>2021</v>
      </c>
      <c r="I4061" s="3" t="str">
        <f>""</f>
        <v/>
      </c>
    </row>
    <row r="4062" spans="1:9" x14ac:dyDescent="0.3">
      <c r="A4062" s="2">
        <v>4061</v>
      </c>
      <c r="B4062" s="4" t="s">
        <v>60</v>
      </c>
      <c r="C4062" s="3" t="str">
        <f>"TFC000004805"</f>
        <v>TFC000004805</v>
      </c>
      <c r="D4062" s="3" t="str">
        <f>"F800-22-0543-(AR5.9)"</f>
        <v>F800-22-0543-(AR5.9)</v>
      </c>
      <c r="E4062" s="3" t="str">
        <f>"The Christmas Pig"</f>
        <v>The Christmas Pig</v>
      </c>
      <c r="F4062" s="3" t="str">
        <f>"by J. K. Rowling, Jim Field 지음"</f>
        <v>by J. K. Rowling, Jim Field 지음</v>
      </c>
      <c r="G4062" s="3" t="str">
        <f>"Hachette Children's Group"</f>
        <v>Hachette Children's Group</v>
      </c>
      <c r="H4062" s="2" t="str">
        <f>"2021"</f>
        <v>2021</v>
      </c>
      <c r="I4062" s="3" t="str">
        <f>""</f>
        <v/>
      </c>
    </row>
    <row r="4063" spans="1:9" x14ac:dyDescent="0.3">
      <c r="A4063" s="2">
        <v>4062</v>
      </c>
      <c r="B4063" s="4" t="s">
        <v>61</v>
      </c>
      <c r="C4063" s="3" t="str">
        <f>"TFC000002921"</f>
        <v>TFC000002921</v>
      </c>
      <c r="D4063" s="3" t="str">
        <f>"F300-20-3023-(AR 6.0)"</f>
        <v>F300-20-3023-(AR 6.0)</v>
      </c>
      <c r="E4063" s="3" t="str">
        <f>"Favorite medieval tales"</f>
        <v>Favorite medieval tales</v>
      </c>
      <c r="F4063" s="3" t="str">
        <f>"retold by Mary Pope Osborne ; illustrated by Troy Howell"</f>
        <v>retold by Mary Pope Osborne ; illustrated by Troy Howell</v>
      </c>
      <c r="G4063" s="3" t="str">
        <f>"Scholastic"</f>
        <v>Scholastic</v>
      </c>
      <c r="H4063" s="2" t="str">
        <f>"1990"</f>
        <v>1990</v>
      </c>
      <c r="I4063" s="3" t="str">
        <f>""</f>
        <v/>
      </c>
    </row>
    <row r="4064" spans="1:9" x14ac:dyDescent="0.3">
      <c r="A4064" s="2">
        <v>4063</v>
      </c>
      <c r="B4064" s="4" t="s">
        <v>61</v>
      </c>
      <c r="C4064" s="3" t="str">
        <f>"TFC000002686"</f>
        <v>TFC000002686</v>
      </c>
      <c r="D4064" s="3" t="str">
        <f>"F300-20-3022-(AR 6.0)"</f>
        <v>F300-20-3022-(AR 6.0)</v>
      </c>
      <c r="E4064" s="3" t="str">
        <f>"We are displaced"</f>
        <v>We are displaced</v>
      </c>
      <c r="F4064" s="3" t="str">
        <f>"Malala Yousafzai, Liz Welch"</f>
        <v>Malala Yousafzai, Liz Welch</v>
      </c>
      <c r="G4064" s="3" t="str">
        <f>"Little, Brown and Company"</f>
        <v>Little, Brown and Company</v>
      </c>
      <c r="H4064" s="2" t="str">
        <f>"2019"</f>
        <v>2019</v>
      </c>
      <c r="I4064" s="3" t="str">
        <f>""</f>
        <v/>
      </c>
    </row>
    <row r="4065" spans="1:9" x14ac:dyDescent="0.3">
      <c r="A4065" s="2">
        <v>4064</v>
      </c>
      <c r="B4065" s="4" t="s">
        <v>61</v>
      </c>
      <c r="C4065" s="3" t="str">
        <f>"TFC000002687"</f>
        <v>TFC000002687</v>
      </c>
      <c r="D4065" s="3" t="str">
        <f>"F800-20-3024-(AR 6.0)"</f>
        <v>F800-20-3024-(AR 6.0)</v>
      </c>
      <c r="E4065" s="3" t="str">
        <f>"(A)little princess"</f>
        <v>(A)little princess</v>
      </c>
      <c r="F4065" s="3" t="str">
        <f>"Frances Hodgson Burnett"</f>
        <v>Frances Hodgson Burnett</v>
      </c>
      <c r="G4065" s="3" t="str">
        <f>"Aladdin Paperbacks"</f>
        <v>Aladdin Paperbacks</v>
      </c>
      <c r="H4065" s="2" t="str">
        <f>"2001"</f>
        <v>2001</v>
      </c>
      <c r="I4065" s="3" t="str">
        <f>""</f>
        <v/>
      </c>
    </row>
    <row r="4066" spans="1:9" x14ac:dyDescent="0.3">
      <c r="A4066" s="2">
        <v>4065</v>
      </c>
      <c r="B4066" s="4" t="s">
        <v>61</v>
      </c>
      <c r="C4066" s="3" t="str">
        <f>"TFC000002688"</f>
        <v>TFC000002688</v>
      </c>
      <c r="D4066" s="3" t="str">
        <f>"F800-20-3025-(AR 6.0)"</f>
        <v>F800-20-3025-(AR 6.0)</v>
      </c>
      <c r="E4066" s="3" t="str">
        <f>"(A)little princess"</f>
        <v>(A)little princess</v>
      </c>
      <c r="F4066" s="3" t="str">
        <f>"Frances Hodgson Burnett ; indroduced by Adeline Yen Mah ; illustrations by Margery Hill"</f>
        <v>Frances Hodgson Burnett ; indroduced by Adeline Yen Mah ; illustrations by Margery Hill</v>
      </c>
      <c r="G4066" s="3" t="str">
        <f>"Puffin Books"</f>
        <v>Puffin Books</v>
      </c>
      <c r="H4066" s="2" t="str">
        <f>"2008"</f>
        <v>2008</v>
      </c>
      <c r="I4066" s="3" t="str">
        <f>""</f>
        <v/>
      </c>
    </row>
    <row r="4067" spans="1:9" x14ac:dyDescent="0.3">
      <c r="A4067" s="2">
        <v>4066</v>
      </c>
      <c r="B4067" s="4" t="s">
        <v>61</v>
      </c>
      <c r="C4067" s="3" t="str">
        <f>"TFC000002689"</f>
        <v>TFC000002689</v>
      </c>
      <c r="D4067" s="3" t="str">
        <f>"F800-20-3026-(AR 6.0)"</f>
        <v>F800-20-3026-(AR 6.0)</v>
      </c>
      <c r="E4067" s="3" t="str">
        <f>"Ginger pye"</f>
        <v>Ginger pye</v>
      </c>
      <c r="F4067" s="3" t="str">
        <f>"Eleanor Estes"</f>
        <v>Eleanor Estes</v>
      </c>
      <c r="G4067" s="3" t="str">
        <f>"Houghton Mifflin Harcourt"</f>
        <v>Houghton Mifflin Harcourt</v>
      </c>
      <c r="H4067" s="2" t="str">
        <f>"2000"</f>
        <v>2000</v>
      </c>
      <c r="I4067" s="3" t="str">
        <f>""</f>
        <v/>
      </c>
    </row>
    <row r="4068" spans="1:9" x14ac:dyDescent="0.3">
      <c r="A4068" s="2">
        <v>4067</v>
      </c>
      <c r="B4068" s="4" t="s">
        <v>61</v>
      </c>
      <c r="C4068" s="3" t="str">
        <f>"TFC000002690"</f>
        <v>TFC000002690</v>
      </c>
      <c r="D4068" s="3" t="str">
        <f>"F800-20-3027-(AR 6.0)"</f>
        <v>F800-20-3027-(AR 6.0)</v>
      </c>
      <c r="E4068" s="3" t="str">
        <f>"Pigs might fly"</f>
        <v>Pigs might fly</v>
      </c>
      <c r="F4068" s="3" t="str">
        <f>"by Dick King-Smith ; drawings by Mary Rayner"</f>
        <v>by Dick King-Smith ; drawings by Mary Rayner</v>
      </c>
      <c r="G4068" s="3" t="str">
        <f>"Puffin Books"</f>
        <v>Puffin Books</v>
      </c>
      <c r="H4068" s="2" t="str">
        <f>"1990"</f>
        <v>1990</v>
      </c>
      <c r="I4068" s="3" t="str">
        <f>""</f>
        <v/>
      </c>
    </row>
    <row r="4069" spans="1:9" x14ac:dyDescent="0.3">
      <c r="A4069" s="2">
        <v>4068</v>
      </c>
      <c r="B4069" s="4" t="s">
        <v>61</v>
      </c>
      <c r="C4069" s="3" t="str">
        <f>"TFC000002691"</f>
        <v>TFC000002691</v>
      </c>
      <c r="D4069" s="3" t="str">
        <f>"F800-20-3028-(AR 6.0)"</f>
        <v>F800-20-3028-(AR 6.0)</v>
      </c>
      <c r="E4069" s="3" t="str">
        <f>"(The)landry news"</f>
        <v>(The)landry news</v>
      </c>
      <c r="F4069" s="3" t="str">
        <f>"Andrew Clements ; illustrated by Brian Selznick"</f>
        <v>Andrew Clements ; illustrated by Brian Selznick</v>
      </c>
      <c r="G4069" s="3" t="str">
        <f>"Atheneum Books for Young Readers"</f>
        <v>Atheneum Books for Young Readers</v>
      </c>
      <c r="H4069" s="2" t="str">
        <f>"2000"</f>
        <v>2000</v>
      </c>
      <c r="I4069" s="3" t="str">
        <f>""</f>
        <v/>
      </c>
    </row>
    <row r="4070" spans="1:9" x14ac:dyDescent="0.3">
      <c r="A4070" s="2">
        <v>4069</v>
      </c>
      <c r="B4070" s="4" t="s">
        <v>61</v>
      </c>
      <c r="C4070" s="3" t="str">
        <f>"TFC000002692"</f>
        <v>TFC000002692</v>
      </c>
      <c r="D4070" s="3" t="str">
        <f>"F800-20-3029-(AR 6.0)"</f>
        <v>F800-20-3029-(AR 6.0)</v>
      </c>
      <c r="E4070" s="3" t="str">
        <f>"(The)other wind"</f>
        <v>(The)other wind</v>
      </c>
      <c r="F4070" s="3" t="str">
        <f>"Ursula K. Le Guin"</f>
        <v>Ursula K. Le Guin</v>
      </c>
      <c r="G4070" s="3" t="str">
        <f>"Houghton Mifflin Harcourt"</f>
        <v>Houghton Mifflin Harcourt</v>
      </c>
      <c r="H4070" s="2" t="str">
        <f>"2012"</f>
        <v>2012</v>
      </c>
      <c r="I4070" s="3" t="str">
        <f>""</f>
        <v/>
      </c>
    </row>
    <row r="4071" spans="1:9" x14ac:dyDescent="0.3">
      <c r="A4071" s="2">
        <v>4070</v>
      </c>
      <c r="B4071" s="4" t="s">
        <v>61</v>
      </c>
      <c r="C4071" s="3" t="str">
        <f>"TFC000002693"</f>
        <v>TFC000002693</v>
      </c>
      <c r="D4071" s="3" t="str">
        <f>"F800-20-3030-(AR 6.0)"</f>
        <v>F800-20-3030-(AR 6.0)</v>
      </c>
      <c r="E4071" s="3" t="str">
        <f>"Savvy"</f>
        <v>Savvy</v>
      </c>
      <c r="F4071" s="3" t="str">
        <f>"by Ingrid Law"</f>
        <v>by Ingrid Law</v>
      </c>
      <c r="G4071" s="3" t="str">
        <f>"Puffin Books"</f>
        <v>Puffin Books</v>
      </c>
      <c r="H4071" s="2" t="str">
        <f>"2018"</f>
        <v>2018</v>
      </c>
      <c r="I4071" s="3" t="str">
        <f>""</f>
        <v/>
      </c>
    </row>
    <row r="4072" spans="1:9" x14ac:dyDescent="0.3">
      <c r="A4072" s="2">
        <v>4071</v>
      </c>
      <c r="B4072" s="4" t="s">
        <v>61</v>
      </c>
      <c r="C4072" s="3" t="str">
        <f>"TFC000002694"</f>
        <v>TFC000002694</v>
      </c>
      <c r="D4072" s="3" t="str">
        <f>"F800-20-3031-(AR 6.0)"</f>
        <v>F800-20-3031-(AR 6.0)</v>
      </c>
      <c r="E4072" s="3" t="str">
        <f>"Fairest : Levana's story"</f>
        <v>Fairest : Levana's story</v>
      </c>
      <c r="F4072" s="3" t="str">
        <f>"written by Marissa Meyer"</f>
        <v>written by Marissa Meyer</v>
      </c>
      <c r="G4072" s="3" t="str">
        <f>"Feiwel and Friends"</f>
        <v>Feiwel and Friends</v>
      </c>
      <c r="H4072" s="2" t="str">
        <f>"2016"</f>
        <v>2016</v>
      </c>
      <c r="I4072" s="3" t="str">
        <f>""</f>
        <v/>
      </c>
    </row>
    <row r="4073" spans="1:9" x14ac:dyDescent="0.3">
      <c r="A4073" s="2">
        <v>4072</v>
      </c>
      <c r="B4073" s="4" t="s">
        <v>61</v>
      </c>
      <c r="C4073" s="3" t="str">
        <f>"TFC000002695"</f>
        <v>TFC000002695</v>
      </c>
      <c r="D4073" s="3" t="str">
        <f>"F800-20-3032-(AR 6.0)"</f>
        <v>F800-20-3032-(AR 6.0)</v>
      </c>
      <c r="E4073" s="3" t="str">
        <f>"Puppies, dogs, and blue northers : reflections on being raised by a pack of sled dogs"</f>
        <v>Puppies, dogs, and blue northers : reflections on being raised by a pack of sled dogs</v>
      </c>
      <c r="F4073" s="3" t="str">
        <f>"Gary Paulsen"</f>
        <v>Gary Paulsen</v>
      </c>
      <c r="G4073" s="3" t="str">
        <f>"Harcourt"</f>
        <v>Harcourt</v>
      </c>
      <c r="H4073" s="2" t="str">
        <f>"2007"</f>
        <v>2007</v>
      </c>
      <c r="I4073" s="3" t="str">
        <f>""</f>
        <v/>
      </c>
    </row>
    <row r="4074" spans="1:9" x14ac:dyDescent="0.3">
      <c r="A4074" s="2">
        <v>4073</v>
      </c>
      <c r="B4074" s="4" t="s">
        <v>61</v>
      </c>
      <c r="C4074" s="3" t="str">
        <f>"TFC000002696"</f>
        <v>TFC000002696</v>
      </c>
      <c r="D4074" s="3" t="str">
        <f>"F800-20-3033-(AR 6.0)"</f>
        <v>F800-20-3033-(AR 6.0)</v>
      </c>
      <c r="E4074" s="3" t="str">
        <f>"(The)bronze pen"</f>
        <v>(The)bronze pen</v>
      </c>
      <c r="F4074" s="3" t="str">
        <f>"Zilpha Keatley Snyder"</f>
        <v>Zilpha Keatley Snyder</v>
      </c>
      <c r="G4074" s="3" t="str">
        <f>"Atheneum Books for Young Readers"</f>
        <v>Atheneum Books for Young Readers</v>
      </c>
      <c r="H4074" s="2" t="str">
        <f>"2008"</f>
        <v>2008</v>
      </c>
      <c r="I4074" s="3" t="str">
        <f>""</f>
        <v/>
      </c>
    </row>
    <row r="4075" spans="1:9" x14ac:dyDescent="0.3">
      <c r="A4075" s="2">
        <v>4074</v>
      </c>
      <c r="B4075" s="4" t="s">
        <v>61</v>
      </c>
      <c r="C4075" s="3" t="str">
        <f>"TFC000002697"</f>
        <v>TFC000002697</v>
      </c>
      <c r="D4075" s="3" t="str">
        <f>"F800-20-3034-(AR 6.0)"</f>
        <v>F800-20-3034-(AR 6.0)</v>
      </c>
      <c r="E4075" s="3" t="str">
        <f>"(The)treasures of weatherby"</f>
        <v>(The)treasures of weatherby</v>
      </c>
      <c r="F4075" s="3" t="str">
        <f>"Zilpha Keatley Snyder"</f>
        <v>Zilpha Keatley Snyder</v>
      </c>
      <c r="G4075" s="3" t="str">
        <f>"Atheneum Books for Young Readers"</f>
        <v>Atheneum Books for Young Readers</v>
      </c>
      <c r="H4075" s="2" t="str">
        <f>"2007"</f>
        <v>2007</v>
      </c>
      <c r="I4075" s="3" t="str">
        <f>""</f>
        <v/>
      </c>
    </row>
    <row r="4076" spans="1:9" x14ac:dyDescent="0.3">
      <c r="A4076" s="2">
        <v>4075</v>
      </c>
      <c r="B4076" s="4" t="s">
        <v>61</v>
      </c>
      <c r="C4076" s="3" t="str">
        <f>"TFC000002698"</f>
        <v>TFC000002698</v>
      </c>
      <c r="D4076" s="3" t="str">
        <f>"F800-20-3035-(AR 6.0)"</f>
        <v>F800-20-3035-(AR 6.0)</v>
      </c>
      <c r="E4076" s="3" t="str">
        <f>"Stuart little"</f>
        <v>Stuart little</v>
      </c>
      <c r="F4076" s="3" t="str">
        <f>"by E.B. White ; Pictures by Garth Williams"</f>
        <v>by E.B. White ; Pictures by Garth Williams</v>
      </c>
      <c r="G4076" s="3" t="str">
        <f>"HarperCollins Publishers"</f>
        <v>HarperCollins Publishers</v>
      </c>
      <c r="H4076" s="2" t="str">
        <f>"1999"</f>
        <v>1999</v>
      </c>
      <c r="I4076" s="3" t="str">
        <f>""</f>
        <v/>
      </c>
    </row>
    <row r="4077" spans="1:9" x14ac:dyDescent="0.3">
      <c r="A4077" s="2">
        <v>4076</v>
      </c>
      <c r="B4077" s="4" t="s">
        <v>61</v>
      </c>
      <c r="C4077" s="3" t="str">
        <f>"TFC000002699"</f>
        <v>TFC000002699</v>
      </c>
      <c r="D4077" s="3" t="str">
        <f>"F900-20-3037-(AR 6.0)"</f>
        <v>F900-20-3037-(AR 6.0)</v>
      </c>
      <c r="E4077" s="3" t="str">
        <f>"Who was Julius Caesar?"</f>
        <v>Who was Julius Caesar?</v>
      </c>
      <c r="F4077" s="3" t="str">
        <f>"by Nico Medina ; illustrated by Tim Foley"</f>
        <v>by Nico Medina ; illustrated by Tim Foley</v>
      </c>
      <c r="G4077" s="3" t="str">
        <f>"Penguin Workshop"</f>
        <v>Penguin Workshop</v>
      </c>
      <c r="H4077" s="2" t="str">
        <f>"2015"</f>
        <v>2015</v>
      </c>
      <c r="I4077" s="3" t="str">
        <f>""</f>
        <v/>
      </c>
    </row>
    <row r="4078" spans="1:9" x14ac:dyDescent="0.3">
      <c r="A4078" s="2">
        <v>4077</v>
      </c>
      <c r="B4078" s="4" t="s">
        <v>61</v>
      </c>
      <c r="C4078" s="3" t="str">
        <f>"TFC000002700"</f>
        <v>TFC000002700</v>
      </c>
      <c r="D4078" s="3" t="str">
        <f>"F900-20-3038-(AR 6.0)"</f>
        <v>F900-20-3038-(AR 6.0)</v>
      </c>
      <c r="E4078" s="3" t="str">
        <f>"What is the Statue of Liberty?"</f>
        <v>What is the Statue of Liberty?</v>
      </c>
      <c r="F4078" s="3" t="str">
        <f>"by Joan Holub ; illustrated by John Hinderliter"</f>
        <v>by Joan Holub ; illustrated by John Hinderliter</v>
      </c>
      <c r="G4078" s="3" t="str">
        <f>"Penguin Workshop"</f>
        <v>Penguin Workshop</v>
      </c>
      <c r="H4078" s="2" t="str">
        <f>"2014"</f>
        <v>2014</v>
      </c>
      <c r="I4078" s="3" t="str">
        <f>""</f>
        <v/>
      </c>
    </row>
    <row r="4079" spans="1:9" x14ac:dyDescent="0.3">
      <c r="A4079" s="2">
        <v>4078</v>
      </c>
      <c r="B4079" s="4" t="s">
        <v>61</v>
      </c>
      <c r="C4079" s="3" t="str">
        <f>"TFC000002701"</f>
        <v>TFC000002701</v>
      </c>
      <c r="D4079" s="3" t="str">
        <f>"F900-20-3039-(AR 6.0)"</f>
        <v>F900-20-3039-(AR 6.0)</v>
      </c>
      <c r="E4079" s="3" t="str">
        <f>"Who is Pope Francis?"</f>
        <v>Who is Pope Francis?</v>
      </c>
      <c r="F4079" s="3" t="str">
        <f>"by Stephanie Spinner ; illustrated by Dede Putra"</f>
        <v>by Stephanie Spinner ; illustrated by Dede Putra</v>
      </c>
      <c r="G4079" s="3" t="str">
        <f>"Penguin Workshop"</f>
        <v>Penguin Workshop</v>
      </c>
      <c r="H4079" s="2" t="str">
        <f>"2017"</f>
        <v>2017</v>
      </c>
      <c r="I4079" s="3" t="str">
        <f>""</f>
        <v/>
      </c>
    </row>
    <row r="4080" spans="1:9" x14ac:dyDescent="0.3">
      <c r="A4080" s="2">
        <v>4079</v>
      </c>
      <c r="B4080" s="4" t="s">
        <v>61</v>
      </c>
      <c r="C4080" s="3" t="str">
        <f>"TFC000002702"</f>
        <v>TFC000002702</v>
      </c>
      <c r="D4080" s="3" t="str">
        <f>"F900-20-3040-(AR 6.0)"</f>
        <v>F900-20-3040-(AR 6.0)</v>
      </c>
      <c r="E4080" s="3" t="str">
        <f>"Who was Theodore Roosevelt?"</f>
        <v>Who was Theodore Roosevelt?</v>
      </c>
      <c r="F4080" s="3" t="str">
        <f>"by Michael Burgan ; illustrated by Jerry Hoare"</f>
        <v>by Michael Burgan ; illustrated by Jerry Hoare</v>
      </c>
      <c r="G4080" s="3" t="str">
        <f>"Penguin Workshop"</f>
        <v>Penguin Workshop</v>
      </c>
      <c r="H4080" s="2" t="str">
        <f>"2015"</f>
        <v>2015</v>
      </c>
      <c r="I4080" s="3" t="str">
        <f>""</f>
        <v/>
      </c>
    </row>
    <row r="4081" spans="1:9" x14ac:dyDescent="0.3">
      <c r="A4081" s="2">
        <v>4080</v>
      </c>
      <c r="B4081" s="4" t="s">
        <v>61</v>
      </c>
      <c r="C4081" s="3" t="str">
        <f>"TFC000002703"</f>
        <v>TFC000002703</v>
      </c>
      <c r="D4081" s="3" t="str">
        <f>"F900-20-3041-(AR 6.0)"</f>
        <v>F900-20-3041-(AR 6.0)</v>
      </c>
      <c r="E4081" s="3" t="str">
        <f>"Who was Napoleon?"</f>
        <v>Who was Napoleon?</v>
      </c>
      <c r="F4081" s="3" t="str">
        <f>"by Jim Gigliotti ; illustrated by Gregory Copeland"</f>
        <v>by Jim Gigliotti ; illustrated by Gregory Copeland</v>
      </c>
      <c r="G4081" s="3" t="str">
        <f>"Penguin Workshop"</f>
        <v>Penguin Workshop</v>
      </c>
      <c r="H4081" s="2" t="str">
        <f>"2018"</f>
        <v>2018</v>
      </c>
      <c r="I4081" s="3" t="str">
        <f>""</f>
        <v/>
      </c>
    </row>
    <row r="4082" spans="1:9" x14ac:dyDescent="0.3">
      <c r="A4082" s="2">
        <v>4081</v>
      </c>
      <c r="B4082" s="4" t="s">
        <v>61</v>
      </c>
      <c r="C4082" s="3" t="str">
        <f>"TFC000002704"</f>
        <v>TFC000002704</v>
      </c>
      <c r="D4082" s="3" t="str">
        <f>"F900-20-3042-(AR 6.0)"</f>
        <v>F900-20-3042-(AR 6.0)</v>
      </c>
      <c r="E4082" s="3" t="str">
        <f>"Who was Jules Verne?"</f>
        <v>Who was Jules Verne?</v>
      </c>
      <c r="F4082" s="3" t="str">
        <f>"by James Buckley,  Jr. ; illustrated by Gregory Copeland"</f>
        <v>by James Buckley,  Jr. ; illustrated by Gregory Copeland</v>
      </c>
      <c r="G4082" s="3" t="str">
        <f>"Penguin Workshop"</f>
        <v>Penguin Workshop</v>
      </c>
      <c r="H4082" s="2" t="str">
        <f>"2016"</f>
        <v>2016</v>
      </c>
      <c r="I4082" s="3" t="str">
        <f>""</f>
        <v/>
      </c>
    </row>
    <row r="4083" spans="1:9" x14ac:dyDescent="0.3">
      <c r="A4083" s="2">
        <v>4082</v>
      </c>
      <c r="B4083" s="4" t="s">
        <v>61</v>
      </c>
      <c r="C4083" s="3" t="str">
        <f>"TFC000002705"</f>
        <v>TFC000002705</v>
      </c>
      <c r="D4083" s="3" t="str">
        <f>"F900-20-3043-(AR 6.0)"</f>
        <v>F900-20-3043-(AR 6.0)</v>
      </c>
      <c r="E4083" s="3" t="str">
        <f>"Who was Stephen Hawking?"</f>
        <v>Who was Stephen Hawking?</v>
      </c>
      <c r="F4083" s="3" t="str">
        <f>"by Jim Gigliotti ; illustrated by Gregory Copeland"</f>
        <v>by Jim Gigliotti ; illustrated by Gregory Copeland</v>
      </c>
      <c r="G4083" s="3" t="str">
        <f>"Penguin Workshop"</f>
        <v>Penguin Workshop</v>
      </c>
      <c r="H4083" s="2" t="str">
        <f>"2019"</f>
        <v>2019</v>
      </c>
      <c r="I4083" s="3" t="str">
        <f>""</f>
        <v/>
      </c>
    </row>
    <row r="4084" spans="1:9" x14ac:dyDescent="0.3">
      <c r="A4084" s="2">
        <v>4083</v>
      </c>
      <c r="B4084" s="4" t="s">
        <v>61</v>
      </c>
      <c r="C4084" s="3" t="str">
        <f>"TFC000003056"</f>
        <v>TFC000003056</v>
      </c>
      <c r="D4084" s="3" t="str">
        <f>"F900-20-3044-(AR 6.0)"</f>
        <v>F900-20-3044-(AR 6.0)</v>
      </c>
      <c r="E4084" s="3" t="str">
        <f>"(The)ancient Maya"</f>
        <v>(The)ancient Maya</v>
      </c>
      <c r="F4084" s="3" t="str">
        <f>"Jackie Maloy"</f>
        <v>Jackie Maloy</v>
      </c>
      <c r="G4084" s="3" t="str">
        <f>"Children's Press"</f>
        <v>Children's Press</v>
      </c>
      <c r="H4084" s="2" t="str">
        <f>"2010"</f>
        <v>2010</v>
      </c>
      <c r="I4084" s="3" t="str">
        <f>""</f>
        <v/>
      </c>
    </row>
    <row r="4085" spans="1:9" x14ac:dyDescent="0.3">
      <c r="A4085" s="2">
        <v>4084</v>
      </c>
      <c r="B4085" s="4" t="s">
        <v>61</v>
      </c>
      <c r="C4085" s="3" t="str">
        <f>"TFC000003105"</f>
        <v>TFC000003105</v>
      </c>
      <c r="D4085" s="3" t="str">
        <f>"F800-20-3036-(AR 6.0)"</f>
        <v>F800-20-3036-(AR 6.0)</v>
      </c>
      <c r="E4085" s="3" t="str">
        <f>"(The)size of the truth"</f>
        <v>(The)size of the truth</v>
      </c>
      <c r="F4085" s="3" t="str">
        <f>"Andrew Smith"</f>
        <v>Andrew Smith</v>
      </c>
      <c r="G4085" s="3" t="str">
        <f>"Simon &amp; Schuster Books for Young Readers"</f>
        <v>Simon &amp; Schuster Books for Young Readers</v>
      </c>
      <c r="H4085" s="2" t="str">
        <f>"2019"</f>
        <v>2019</v>
      </c>
      <c r="I4085" s="3" t="str">
        <f>""</f>
        <v/>
      </c>
    </row>
    <row r="4086" spans="1:9" x14ac:dyDescent="0.3">
      <c r="A4086" s="2">
        <v>4085</v>
      </c>
      <c r="B4086" s="4" t="s">
        <v>61</v>
      </c>
      <c r="C4086" s="3" t="str">
        <f>"TFC000003418"</f>
        <v>TFC000003418</v>
      </c>
      <c r="D4086" s="3" t="str">
        <f>"F900-21-0913-(AR 6.0)"</f>
        <v>F900-21-0913-(AR 6.0)</v>
      </c>
      <c r="E4086" s="3" t="str">
        <f>"Dave the Potter : artist, poet, slave"</f>
        <v>Dave the Potter : artist, poet, slave</v>
      </c>
      <c r="F4086" s="3" t="str">
        <f>"by Laban Carrick Hill ; illustrated by Bryan Collier"</f>
        <v>by Laban Carrick Hill ; illustrated by Bryan Collier</v>
      </c>
      <c r="G4086" s="3" t="str">
        <f>"Little, Brown And Company"</f>
        <v>Little, Brown And Company</v>
      </c>
      <c r="H4086" s="2" t="str">
        <f>"2011"</f>
        <v>2011</v>
      </c>
      <c r="I4086" s="3" t="str">
        <f>""</f>
        <v/>
      </c>
    </row>
    <row r="4087" spans="1:9" x14ac:dyDescent="0.3">
      <c r="A4087" s="2">
        <v>4086</v>
      </c>
      <c r="B4087" s="4" t="s">
        <v>61</v>
      </c>
      <c r="C4087" s="3" t="str">
        <f>"TFC000003422"</f>
        <v>TFC000003422</v>
      </c>
      <c r="D4087" s="3" t="str">
        <f>"F800-21-0912-(AR 6.0)"</f>
        <v>F800-21-0912-(AR 6.0)</v>
      </c>
      <c r="E4087" s="3" t="str">
        <f>"Caddie Woodlawn"</f>
        <v>Caddie Woodlawn</v>
      </c>
      <c r="F4087" s="3" t="str">
        <f>"by Carol Ryrie Brink"</f>
        <v>by Carol Ryrie Brink</v>
      </c>
      <c r="G4087" s="3" t="str">
        <f>"Aladdin"</f>
        <v>Aladdin</v>
      </c>
      <c r="H4087" s="2" t="str">
        <f>"2006"</f>
        <v>2006</v>
      </c>
      <c r="I4087" s="3" t="str">
        <f>""</f>
        <v/>
      </c>
    </row>
    <row r="4088" spans="1:9" x14ac:dyDescent="0.3">
      <c r="A4088" s="2">
        <v>4087</v>
      </c>
      <c r="B4088" s="4" t="s">
        <v>61</v>
      </c>
      <c r="C4088" s="3" t="str">
        <f>"TFC000004876"</f>
        <v>TFC000004876</v>
      </c>
      <c r="D4088" s="3" t="str">
        <f>"F800-22-0606-(AR 6.0)"</f>
        <v>F800-22-0606-(AR 6.0)</v>
      </c>
      <c r="E4088" s="3" t="str">
        <f>"Call us what we carry : Poems"</f>
        <v>Call us what we carry : Poems</v>
      </c>
      <c r="F4088" s="3" t="str">
        <f>"by Amanda Gorman"</f>
        <v>by Amanda Gorman</v>
      </c>
      <c r="G4088" s="3" t="str">
        <f>"Viking Books"</f>
        <v>Viking Books</v>
      </c>
      <c r="H4088" s="2" t="str">
        <f>"2021"</f>
        <v>2021</v>
      </c>
      <c r="I4088" s="3" t="str">
        <f>""</f>
        <v/>
      </c>
    </row>
    <row r="4089" spans="1:9" x14ac:dyDescent="0.3">
      <c r="A4089" s="2">
        <v>4088</v>
      </c>
      <c r="B4089" s="4" t="s">
        <v>61</v>
      </c>
      <c r="C4089" s="3" t="str">
        <f>"TFC000004892"</f>
        <v>TFC000004892</v>
      </c>
      <c r="D4089" s="3" t="str">
        <f>"F800-22-0622-(AR 6.0)"</f>
        <v>F800-22-0622-(AR 6.0)</v>
      </c>
      <c r="E4089" s="3" t="str">
        <f>"Harry Potter and the philosopher's stone"</f>
        <v>Harry Potter and the philosopher's stone</v>
      </c>
      <c r="F4089" s="3" t="str">
        <f>"by J.K. Rowling, illustrated by Thomas Taylor"</f>
        <v>by J.K. Rowling, illustrated by Thomas Taylor</v>
      </c>
      <c r="G4089" s="3" t="str">
        <f>"Bloomsbury"</f>
        <v>Bloomsbury</v>
      </c>
      <c r="H4089" s="2" t="str">
        <f>"2022"</f>
        <v>2022</v>
      </c>
      <c r="I4089" s="3" t="str">
        <f>""</f>
        <v/>
      </c>
    </row>
    <row r="4090" spans="1:9" x14ac:dyDescent="0.3">
      <c r="A4090" s="2">
        <v>4089</v>
      </c>
      <c r="B4090" s="4" t="s">
        <v>61</v>
      </c>
      <c r="C4090" s="3" t="str">
        <f>"TFC000004518"</f>
        <v>TFC000004518</v>
      </c>
      <c r="D4090" s="3" t="str">
        <f>"F400-22-0327-(AR 6.0)"</f>
        <v>F400-22-0327-(AR 6.0)</v>
      </c>
      <c r="E4090" s="3" t="str">
        <f>"Bling! : 100 Fun Facts about Rocks and Gems"</f>
        <v>Bling! : 100 Fun Facts about Rocks and Gems</v>
      </c>
      <c r="F4090" s="3" t="str">
        <f>"by Emma Carlson Berne"</f>
        <v>by Emma Carlson Berne</v>
      </c>
      <c r="G4090" s="3" t="str">
        <f>"National Geographic Kids"</f>
        <v>National Geographic Kids</v>
      </c>
      <c r="H4090" s="2" t="str">
        <f>"2022"</f>
        <v>2022</v>
      </c>
      <c r="I4090" s="3" t="str">
        <f>""</f>
        <v/>
      </c>
    </row>
    <row r="4091" spans="1:9" x14ac:dyDescent="0.3">
      <c r="A4091" s="2">
        <v>4090</v>
      </c>
      <c r="B4091" s="4" t="s">
        <v>61</v>
      </c>
      <c r="C4091" s="3" t="str">
        <f>"TFC000004673"</f>
        <v>TFC000004673</v>
      </c>
      <c r="D4091" s="3" t="str">
        <f>"F800-22-0482-(AR 6.0)"</f>
        <v>F800-22-0482-(AR 6.0)</v>
      </c>
      <c r="E4091" s="3" t="str">
        <f>"Spy School Project X"</f>
        <v>Spy School Project X</v>
      </c>
      <c r="F4091" s="3" t="str">
        <f>"by Stuart Gibbs"</f>
        <v>by Stuart Gibbs</v>
      </c>
      <c r="G4091" s="3" t="str">
        <f>"Simon &amp; Schuster Books for Young Readers"</f>
        <v>Simon &amp; Schuster Books for Young Readers</v>
      </c>
      <c r="H4091" s="2" t="str">
        <f>"2022"</f>
        <v>2022</v>
      </c>
      <c r="I4091" s="3" t="str">
        <f>""</f>
        <v/>
      </c>
    </row>
    <row r="4092" spans="1:9" x14ac:dyDescent="0.3">
      <c r="A4092" s="2">
        <v>4091</v>
      </c>
      <c r="B4092" s="4" t="s">
        <v>61</v>
      </c>
      <c r="C4092" s="3" t="str">
        <f>"TFC000004592"</f>
        <v>TFC000004592</v>
      </c>
      <c r="D4092" s="3" t="str">
        <f>"F300-22-0401-(AR6.0)"</f>
        <v>F300-22-0401-(AR6.0)</v>
      </c>
      <c r="E4092" s="3" t="str">
        <f>"Do the Work! Gender Equality"</f>
        <v>Do the Work! Gender Equality</v>
      </c>
      <c r="F4092" s="3" t="str">
        <f>"by Julie Knutson"</f>
        <v>by Julie Knutson</v>
      </c>
      <c r="G4092" s="3" t="str">
        <f>"Cherry Lake Publishing"</f>
        <v>Cherry Lake Publishing</v>
      </c>
      <c r="H4092" s="2" t="str">
        <f>"2021"</f>
        <v>2021</v>
      </c>
      <c r="I4092" s="3" t="str">
        <f>""</f>
        <v/>
      </c>
    </row>
    <row r="4093" spans="1:9" x14ac:dyDescent="0.3">
      <c r="A4093" s="2">
        <v>4092</v>
      </c>
      <c r="B4093" s="4" t="s">
        <v>61</v>
      </c>
      <c r="C4093" s="3" t="str">
        <f>"TFC000004635"</f>
        <v>TFC000004635</v>
      </c>
      <c r="D4093" s="3" t="str">
        <f>"F800-22-0444-(AR6.0)"</f>
        <v>F800-22-0444-(AR6.0)</v>
      </c>
      <c r="E4093" s="3" t="str">
        <f>"(The)wish"</f>
        <v>(The)wish</v>
      </c>
      <c r="F4093" s="3" t="str">
        <f>"by Nicholas Sparks"</f>
        <v>by Nicholas Sparks</v>
      </c>
      <c r="G4093" s="3" t="str">
        <f>"Grand Central Publishing"</f>
        <v>Grand Central Publishing</v>
      </c>
      <c r="H4093" s="2" t="str">
        <f>"2021"</f>
        <v>2021</v>
      </c>
      <c r="I4093" s="3" t="str">
        <f>""</f>
        <v/>
      </c>
    </row>
    <row r="4094" spans="1:9" x14ac:dyDescent="0.3">
      <c r="A4094" s="2">
        <v>4093</v>
      </c>
      <c r="B4094" s="4" t="s">
        <v>61</v>
      </c>
      <c r="C4094" s="3" t="str">
        <f>"TFC000004863"</f>
        <v>TFC000004863</v>
      </c>
      <c r="D4094" s="3" t="str">
        <f>"F800-22-0593-(AR6.0)"</f>
        <v>F800-22-0593-(AR6.0)</v>
      </c>
      <c r="E4094" s="3" t="str">
        <f>"You Have a Match"</f>
        <v>You Have a Match</v>
      </c>
      <c r="F4094" s="3" t="str">
        <f>"by Emma Lord"</f>
        <v>by Emma Lord</v>
      </c>
      <c r="G4094" s="3" t="str">
        <f>"Wednesday"</f>
        <v>Wednesday</v>
      </c>
      <c r="H4094" s="2" t="str">
        <f>"2021"</f>
        <v>2021</v>
      </c>
      <c r="I4094" s="3" t="str">
        <f>""</f>
        <v/>
      </c>
    </row>
    <row r="4095" spans="1:9" x14ac:dyDescent="0.3">
      <c r="A4095" s="2">
        <v>4094</v>
      </c>
      <c r="B4095" s="4" t="s">
        <v>62</v>
      </c>
      <c r="C4095" s="3" t="str">
        <f>"TFC000002706"</f>
        <v>TFC000002706</v>
      </c>
      <c r="D4095" s="3" t="str">
        <f>"F300-20-3045-(AR 6.1)"</f>
        <v>F300-20-3045-(AR 6.1)</v>
      </c>
      <c r="E4095" s="3" t="str">
        <f>"What was the March on Washington?"</f>
        <v>What was the March on Washington?</v>
      </c>
      <c r="F4095" s="3" t="str">
        <f>"by Kathleen Krull ; illustrated by Tim Tomkinson"</f>
        <v>by Kathleen Krull ; illustrated by Tim Tomkinson</v>
      </c>
      <c r="G4095" s="3" t="str">
        <f>"Penguin Workshop"</f>
        <v>Penguin Workshop</v>
      </c>
      <c r="H4095" s="2" t="str">
        <f>"2013"</f>
        <v>2013</v>
      </c>
      <c r="I4095" s="3" t="str">
        <f>""</f>
        <v/>
      </c>
    </row>
    <row r="4096" spans="1:9" x14ac:dyDescent="0.3">
      <c r="A4096" s="2">
        <v>4095</v>
      </c>
      <c r="B4096" s="4" t="s">
        <v>62</v>
      </c>
      <c r="C4096" s="3" t="str">
        <f>"TFC000002707"</f>
        <v>TFC000002707</v>
      </c>
      <c r="D4096" s="3" t="str">
        <f>"F400-20-3046-(AR 6.1)"</f>
        <v>F400-20-3046-(AR 6.1)</v>
      </c>
      <c r="E4096" s="3" t="str">
        <f>"Life in the rainforests"</f>
        <v>Life in the rainforests</v>
      </c>
      <c r="F4096" s="3" t="str">
        <f>"written by Lucy Baker"</f>
        <v>written by Lucy Baker</v>
      </c>
      <c r="G4096" s="3" t="str">
        <f>"Scholastic"</f>
        <v>Scholastic</v>
      </c>
      <c r="H4096" s="2" t="str">
        <f>"1993"</f>
        <v>1993</v>
      </c>
      <c r="I4096" s="3" t="str">
        <f>""</f>
        <v/>
      </c>
    </row>
    <row r="4097" spans="1:9" x14ac:dyDescent="0.3">
      <c r="A4097" s="2">
        <v>4096</v>
      </c>
      <c r="B4097" s="4" t="s">
        <v>62</v>
      </c>
      <c r="C4097" s="3" t="str">
        <f>"TFC000002708"</f>
        <v>TFC000002708</v>
      </c>
      <c r="D4097" s="3" t="str">
        <f>"F800-20-3047-(AR 6.1)"</f>
        <v>F800-20-3047-(AR 6.1)</v>
      </c>
      <c r="E4097" s="3" t="str">
        <f>"(The)real thief"</f>
        <v>(The)real thief</v>
      </c>
      <c r="F4097" s="3" t="str">
        <f>"story and pictures by William Steig"</f>
        <v>story and pictures by William Steig</v>
      </c>
      <c r="G4097" s="3" t="str">
        <f>"Square Fish"</f>
        <v>Square Fish</v>
      </c>
      <c r="H4097" s="2" t="str">
        <f>"2007"</f>
        <v>2007</v>
      </c>
      <c r="I4097" s="3" t="str">
        <f>""</f>
        <v/>
      </c>
    </row>
    <row r="4098" spans="1:9" x14ac:dyDescent="0.3">
      <c r="A4098" s="2">
        <v>4097</v>
      </c>
      <c r="B4098" s="4" t="s">
        <v>62</v>
      </c>
      <c r="C4098" s="3" t="str">
        <f>"TFC000002711"</f>
        <v>TFC000002711</v>
      </c>
      <c r="D4098" s="3" t="str">
        <f>"F800-20-3050-(AR 6.1)"</f>
        <v>F800-20-3050-(AR 6.1)</v>
      </c>
      <c r="E4098" s="3" t="str">
        <f>"(The)farthest shore"</f>
        <v>(The)farthest shore</v>
      </c>
      <c r="F4098" s="3" t="str">
        <f>"Ursula K. Le Guin"</f>
        <v>Ursula K. Le Guin</v>
      </c>
      <c r="G4098" s="3" t="str">
        <f>"Atheneum Books for Young Readers"</f>
        <v>Atheneum Books for Young Readers</v>
      </c>
      <c r="H4098" s="2" t="str">
        <f>"2012"</f>
        <v>2012</v>
      </c>
      <c r="I4098" s="3" t="str">
        <f>""</f>
        <v/>
      </c>
    </row>
    <row r="4099" spans="1:9" x14ac:dyDescent="0.3">
      <c r="A4099" s="2">
        <v>4098</v>
      </c>
      <c r="B4099" s="4" t="s">
        <v>62</v>
      </c>
      <c r="C4099" s="3" t="str">
        <f>"TFC000002712"</f>
        <v>TFC000002712</v>
      </c>
      <c r="D4099" s="3" t="str">
        <f>"F800-20-3051-(AR 6.1)"</f>
        <v>F800-20-3051-(AR 6.1)</v>
      </c>
      <c r="E4099" s="3" t="str">
        <f>"Tales from earthsea"</f>
        <v>Tales from earthsea</v>
      </c>
      <c r="F4099" s="3" t="str">
        <f>"Ursula K. Le Guin"</f>
        <v>Ursula K. Le Guin</v>
      </c>
      <c r="G4099" s="3" t="str">
        <f>"Houghton Mifflin Harcourt"</f>
        <v>Houghton Mifflin Harcourt</v>
      </c>
      <c r="H4099" s="2" t="str">
        <f>"2012"</f>
        <v>2012</v>
      </c>
      <c r="I4099" s="3" t="str">
        <f>""</f>
        <v/>
      </c>
    </row>
    <row r="4100" spans="1:9" x14ac:dyDescent="0.3">
      <c r="A4100" s="2">
        <v>4099</v>
      </c>
      <c r="B4100" s="4" t="s">
        <v>62</v>
      </c>
      <c r="C4100" s="3" t="str">
        <f>"TFC000002713"</f>
        <v>TFC000002713</v>
      </c>
      <c r="D4100" s="3" t="str">
        <f>"F800-20-3052-(AR 6.1)"</f>
        <v>F800-20-3052-(AR 6.1)</v>
      </c>
      <c r="E4100" s="3" t="str">
        <f>"George's cosmic treasure hunt"</f>
        <v>George's cosmic treasure hunt</v>
      </c>
      <c r="F4100" s="3" t="str">
        <f>"by Lucy Hawking, Stephen Hawking ; illustrated by Garry Parsons"</f>
        <v>by Lucy Hawking, Stephen Hawking ; illustrated by Garry Parsons</v>
      </c>
      <c r="G4100" s="3" t="str">
        <f>"Simon &amp; Schuster Books for Young Readers"</f>
        <v>Simon &amp; Schuster Books for Young Readers</v>
      </c>
      <c r="H4100" s="2" t="str">
        <f>"2009"</f>
        <v>2009</v>
      </c>
      <c r="I4100" s="3" t="str">
        <f>""</f>
        <v/>
      </c>
    </row>
    <row r="4101" spans="1:9" x14ac:dyDescent="0.3">
      <c r="A4101" s="2">
        <v>4100</v>
      </c>
      <c r="B4101" s="4" t="s">
        <v>62</v>
      </c>
      <c r="C4101" s="3" t="str">
        <f>"TFC000002714"</f>
        <v>TFC000002714</v>
      </c>
      <c r="D4101" s="3" t="str">
        <f>"F800-20-3053-(AR 6.1)"</f>
        <v>F800-20-3053-(AR 6.1)</v>
      </c>
      <c r="E4101" s="3" t="str">
        <f>"Let's pretend this never happened"</f>
        <v>Let's pretend this never happened</v>
      </c>
      <c r="F4101" s="3" t="str">
        <f>"by Jamie Kelly"</f>
        <v>by Jamie Kelly</v>
      </c>
      <c r="G4101" s="3" t="str">
        <f>"Scholastic"</f>
        <v>Scholastic</v>
      </c>
      <c r="H4101" s="2" t="str">
        <f>"2004"</f>
        <v>2004</v>
      </c>
      <c r="I4101" s="3" t="str">
        <f>""</f>
        <v/>
      </c>
    </row>
    <row r="4102" spans="1:9" x14ac:dyDescent="0.3">
      <c r="A4102" s="2">
        <v>4101</v>
      </c>
      <c r="B4102" s="4" t="s">
        <v>62</v>
      </c>
      <c r="C4102" s="3" t="str">
        <f>"TFC000002717"</f>
        <v>TFC000002717</v>
      </c>
      <c r="D4102" s="3" t="str">
        <f>"F900-20-3056-(AR 6.1)"</f>
        <v>F900-20-3056-(AR 6.1)</v>
      </c>
      <c r="E4102" s="3" t="str">
        <f>"Who was Fidel Castro?"</f>
        <v>Who was Fidel Castro?</v>
      </c>
      <c r="F4102" s="3" t="str">
        <f>"by Sarah Fabiny ; illustrated by Ted Hammond"</f>
        <v>by Sarah Fabiny ; illustrated by Ted Hammond</v>
      </c>
      <c r="G4102" s="3" t="str">
        <f>"Penguin Workshop"</f>
        <v>Penguin Workshop</v>
      </c>
      <c r="H4102" s="2" t="str">
        <f>"2017"</f>
        <v>2017</v>
      </c>
      <c r="I4102" s="3" t="str">
        <f>""</f>
        <v/>
      </c>
    </row>
    <row r="4103" spans="1:9" x14ac:dyDescent="0.3">
      <c r="A4103" s="2">
        <v>4102</v>
      </c>
      <c r="B4103" s="4" t="s">
        <v>62</v>
      </c>
      <c r="C4103" s="3" t="str">
        <f>"TFC000002718"</f>
        <v>TFC000002718</v>
      </c>
      <c r="D4103" s="3" t="str">
        <f>"F900-20-3057-(AR 6.1)"</f>
        <v>F900-20-3057-(AR 6.1)</v>
      </c>
      <c r="E4103" s="3" t="str">
        <f>"Who was Henry Ford?"</f>
        <v>Who was Henry Ford?</v>
      </c>
      <c r="F4103" s="3" t="str">
        <f>"by Michael Burgan ; illustrated by Ted Hammond"</f>
        <v>by Michael Burgan ; illustrated by Ted Hammond</v>
      </c>
      <c r="G4103" s="3" t="str">
        <f>"Penguin Workshop"</f>
        <v>Penguin Workshop</v>
      </c>
      <c r="H4103" s="2" t="str">
        <f>"2015"</f>
        <v>2015</v>
      </c>
      <c r="I4103" s="3" t="str">
        <f>""</f>
        <v/>
      </c>
    </row>
    <row r="4104" spans="1:9" x14ac:dyDescent="0.3">
      <c r="A4104" s="2">
        <v>4103</v>
      </c>
      <c r="B4104" s="4" t="s">
        <v>62</v>
      </c>
      <c r="C4104" s="3" t="str">
        <f>"TFC000002719"</f>
        <v>TFC000002719</v>
      </c>
      <c r="D4104" s="3" t="str">
        <f>"F900-20-3058-(AR 6.1)"</f>
        <v>F900-20-3058-(AR 6.1)</v>
      </c>
      <c r="E4104" s="3" t="str">
        <f>"Who was Rachel Carson?"</f>
        <v>Who was Rachel Carson?</v>
      </c>
      <c r="F4104" s="3" t="str">
        <f>"by Sarah Fabiny ; illustrated by Dede Putra"</f>
        <v>by Sarah Fabiny ; illustrated by Dede Putra</v>
      </c>
      <c r="G4104" s="3" t="str">
        <f>"Penguin Workshop"</f>
        <v>Penguin Workshop</v>
      </c>
      <c r="H4104" s="2" t="str">
        <f>"2015"</f>
        <v>2015</v>
      </c>
      <c r="I4104" s="3" t="str">
        <f>""</f>
        <v/>
      </c>
    </row>
    <row r="4105" spans="1:9" x14ac:dyDescent="0.3">
      <c r="A4105" s="2">
        <v>4104</v>
      </c>
      <c r="B4105" s="4" t="s">
        <v>62</v>
      </c>
      <c r="C4105" s="3" t="str">
        <f>"TFC000002721"</f>
        <v>TFC000002721</v>
      </c>
      <c r="D4105" s="3" t="str">
        <f>"F900-20-3060-(AR 6.1)"</f>
        <v>F900-20-3060-(AR 6.1)</v>
      </c>
      <c r="E4105" s="3" t="str">
        <f>"Who is Stevie Wonder?"</f>
        <v>Who is Stevie Wonder?</v>
      </c>
      <c r="F4105" s="3" t="str">
        <f>"by Jim Gigliotti ; illustrated by Stephen Marchesi"</f>
        <v>by Jim Gigliotti ; illustrated by Stephen Marchesi</v>
      </c>
      <c r="G4105" s="3" t="str">
        <f>"Penguin Workshop"</f>
        <v>Penguin Workshop</v>
      </c>
      <c r="H4105" s="2" t="str">
        <f>"2016"</f>
        <v>2016</v>
      </c>
      <c r="I4105" s="3" t="str">
        <f>""</f>
        <v/>
      </c>
    </row>
    <row r="4106" spans="1:9" x14ac:dyDescent="0.3">
      <c r="A4106" s="2">
        <v>4105</v>
      </c>
      <c r="B4106" s="4" t="s">
        <v>62</v>
      </c>
      <c r="C4106" s="3" t="str">
        <f>"TFC000002722"</f>
        <v>TFC000002722</v>
      </c>
      <c r="D4106" s="3" t="str">
        <f>"F900-20-3061-(AR 6.1)"</f>
        <v>F900-20-3061-(AR 6.1)</v>
      </c>
      <c r="E4106" s="3" t="str">
        <f>"Who was Mark Twain?"</f>
        <v>Who was Mark Twain?</v>
      </c>
      <c r="F4106" s="3" t="str">
        <f>"by April Jones Prince ; illustrated by John O'Brien"</f>
        <v>by April Jones Prince ; illustrated by John O'Brien</v>
      </c>
      <c r="G4106" s="3" t="str">
        <f>"Grosset &amp; Dunlap"</f>
        <v>Grosset &amp; Dunlap</v>
      </c>
      <c r="H4106" s="2" t="str">
        <f>"2004"</f>
        <v>2004</v>
      </c>
      <c r="I4106" s="3" t="str">
        <f>""</f>
        <v/>
      </c>
    </row>
    <row r="4107" spans="1:9" x14ac:dyDescent="0.3">
      <c r="A4107" s="2">
        <v>4106</v>
      </c>
      <c r="B4107" s="4" t="s">
        <v>62</v>
      </c>
      <c r="C4107" s="3" t="str">
        <f>"TFC000003848"</f>
        <v>TFC000003848</v>
      </c>
      <c r="D4107" s="3" t="str">
        <f>"F800-21-0914-(AR 6.1)"</f>
        <v>F800-21-0914-(AR 6.1)</v>
      </c>
      <c r="E4107" s="3" t="str">
        <f>"Spy school at sea : a spy school novel"</f>
        <v>Spy school at sea : a spy school novel</v>
      </c>
      <c r="F4107" s="3" t="str">
        <f>"by Stuart Gibbs"</f>
        <v>by Stuart Gibbs</v>
      </c>
      <c r="G4107" s="3" t="str">
        <f>"Simon &amp; Schuster Books for Young Readers"</f>
        <v>Simon &amp; Schuster Books for Young Readers</v>
      </c>
      <c r="H4107" s="2" t="str">
        <f>"2021"</f>
        <v>2021</v>
      </c>
      <c r="I4107" s="3" t="str">
        <f>""</f>
        <v/>
      </c>
    </row>
    <row r="4108" spans="1:9" x14ac:dyDescent="0.3">
      <c r="A4108" s="2">
        <v>4107</v>
      </c>
      <c r="B4108" s="4" t="s">
        <v>62</v>
      </c>
      <c r="C4108" s="3" t="str">
        <f>"TFC000004251"</f>
        <v>TFC000004251</v>
      </c>
      <c r="D4108" s="3" t="str">
        <f>"F800-22-0080-(AR 6.1)"</f>
        <v>F800-22-0080-(AR 6.1)</v>
      </c>
      <c r="E4108" s="3" t="str">
        <f>"(The)Land of stories. Book 6, Worlds collide"</f>
        <v>(The)Land of stories. Book 6, Worlds collide</v>
      </c>
      <c r="F4108" s="3" t="str">
        <f>"by Chris Colfer, illustrated by Brandon Dorman"</f>
        <v>by Chris Colfer, illustrated by Brandon Dorman</v>
      </c>
      <c r="G4108" s="3" t="str">
        <f>"Little, Brown and Company"</f>
        <v>Little, Brown and Company</v>
      </c>
      <c r="H4108" s="2" t="str">
        <f>"2017"</f>
        <v>2017</v>
      </c>
      <c r="I4108" s="3" t="str">
        <f>""</f>
        <v/>
      </c>
    </row>
    <row r="4109" spans="1:9" x14ac:dyDescent="0.3">
      <c r="A4109" s="2">
        <v>4108</v>
      </c>
      <c r="B4109" s="4" t="s">
        <v>62</v>
      </c>
      <c r="C4109" s="3" t="str">
        <f>"TFC000004295"</f>
        <v>TFC000004295</v>
      </c>
      <c r="D4109" s="3" t="str">
        <f>"F800-22-0081-(AR 6.1)"</f>
        <v>F800-22-0081-(AR 6.1)</v>
      </c>
      <c r="E4109" s="3" t="str">
        <f>"Delirium"</f>
        <v>Delirium</v>
      </c>
      <c r="F4109" s="3" t="str">
        <f>"by Lauren Oliver"</f>
        <v>by Lauren Oliver</v>
      </c>
      <c r="G4109" s="3" t="str">
        <f>"Turtleback Books"</f>
        <v>Turtleback Books</v>
      </c>
      <c r="H4109" s="2" t="str">
        <f>"2016"</f>
        <v>2016</v>
      </c>
      <c r="I4109" s="3" t="str">
        <f>""</f>
        <v/>
      </c>
    </row>
    <row r="4110" spans="1:9" x14ac:dyDescent="0.3">
      <c r="A4110" s="2">
        <v>4109</v>
      </c>
      <c r="B4110" s="4" t="s">
        <v>62</v>
      </c>
      <c r="C4110" s="3" t="str">
        <f>"TFC000004306"</f>
        <v>TFC000004306</v>
      </c>
      <c r="D4110" s="3" t="str">
        <f>"F800-22-0119-(AR 6.1)"</f>
        <v>F800-22-0119-(AR 6.1)</v>
      </c>
      <c r="E4110" s="3" t="str">
        <f>"(A)Tale of Witchcraft"</f>
        <v>(A)Tale of Witchcraft</v>
      </c>
      <c r="F4110" s="3" t="str">
        <f>"text by Chris Colfer, illustrated by Brandon Dorman"</f>
        <v>text by Chris Colfer, illustrated by Brandon Dorman</v>
      </c>
      <c r="G4110" s="3" t="str">
        <f>"Little, Brown"</f>
        <v>Little, Brown</v>
      </c>
      <c r="H4110" s="2" t="str">
        <f>"2019"</f>
        <v>2019</v>
      </c>
      <c r="I4110" s="3" t="str">
        <f>""</f>
        <v/>
      </c>
    </row>
    <row r="4111" spans="1:9" x14ac:dyDescent="0.3">
      <c r="A4111" s="2">
        <v>4110</v>
      </c>
      <c r="B4111" s="4" t="s">
        <v>62</v>
      </c>
      <c r="C4111" s="3" t="str">
        <f>"TFC000004636"</f>
        <v>TFC000004636</v>
      </c>
      <c r="D4111" s="3" t="str">
        <f>"F800-22-0445-(AR6.1)"</f>
        <v>F800-22-0445-(AR6.1)</v>
      </c>
      <c r="E4111" s="3" t="str">
        <f>"(The)Great Dstroyers"</f>
        <v>(The)Great Dstroyers</v>
      </c>
      <c r="F4111" s="3" t="str">
        <f>"by Caroline Tung Richmond"</f>
        <v>by Caroline Tung Richmond</v>
      </c>
      <c r="G4111" s="3" t="str">
        <f>"Scholastic Press"</f>
        <v>Scholastic Press</v>
      </c>
      <c r="H4111" s="2" t="str">
        <f>"2021"</f>
        <v>2021</v>
      </c>
      <c r="I4111" s="3" t="str">
        <f>""</f>
        <v/>
      </c>
    </row>
    <row r="4112" spans="1:9" x14ac:dyDescent="0.3">
      <c r="A4112" s="2">
        <v>4111</v>
      </c>
      <c r="B4112" s="4" t="s">
        <v>63</v>
      </c>
      <c r="C4112" s="3" t="str">
        <f>"TFC000002723"</f>
        <v>TFC000002723</v>
      </c>
      <c r="D4112" s="3" t="str">
        <f>"F840-20-3062-(AR 6.2)"</f>
        <v>F840-20-3062-(AR 6.2)</v>
      </c>
      <c r="E4112" s="3" t="str">
        <f>"Guys write for guys read"</f>
        <v>Guys write for guys read</v>
      </c>
      <c r="F4112" s="3" t="str">
        <f>"edited by Jon Scieszka"</f>
        <v>edited by Jon Scieszka</v>
      </c>
      <c r="G4112" s="3" t="str">
        <f>"Viking"</f>
        <v>Viking</v>
      </c>
      <c r="H4112" s="2" t="str">
        <f>"2008"</f>
        <v>2008</v>
      </c>
      <c r="I4112" s="3" t="str">
        <f>""</f>
        <v/>
      </c>
    </row>
    <row r="4113" spans="1:9" x14ac:dyDescent="0.3">
      <c r="A4113" s="2">
        <v>4112</v>
      </c>
      <c r="B4113" s="4" t="s">
        <v>63</v>
      </c>
      <c r="C4113" s="3" t="str">
        <f>"TFC000002724"</f>
        <v>TFC000002724</v>
      </c>
      <c r="D4113" s="3" t="str">
        <f>"F800-20-3063-(AR 6.2)"</f>
        <v>F800-20-3063-(AR 6.2)</v>
      </c>
      <c r="E4113" s="3" t="str">
        <f>"(The)door in the wall"</f>
        <v>(The)door in the wall</v>
      </c>
      <c r="F4113" s="3" t="str">
        <f>"by Marguerite De Angeli"</f>
        <v>by Marguerite De Angeli</v>
      </c>
      <c r="G4113" s="3" t="str">
        <f>"Laurel-Leaf Books"</f>
        <v>Laurel-Leaf Books</v>
      </c>
      <c r="H4113" s="2" t="str">
        <f>"1998"</f>
        <v>1998</v>
      </c>
      <c r="I4113" s="3" t="str">
        <f>""</f>
        <v/>
      </c>
    </row>
    <row r="4114" spans="1:9" x14ac:dyDescent="0.3">
      <c r="A4114" s="2">
        <v>4113</v>
      </c>
      <c r="B4114" s="4" t="s">
        <v>63</v>
      </c>
      <c r="C4114" s="3" t="str">
        <f>"TFC000002725"</f>
        <v>TFC000002725</v>
      </c>
      <c r="D4114" s="3" t="str">
        <f>"F800-20-3064-(AR 6.2)"</f>
        <v>F800-20-3064-(AR 6.2)</v>
      </c>
      <c r="E4114" s="3" t="str">
        <f>"Calico bush"</f>
        <v>Calico bush</v>
      </c>
      <c r="F4114" s="3" t="str">
        <f>"Rachel Field, Allen Lewis"</f>
        <v>Rachel Field, Allen Lewis</v>
      </c>
      <c r="G4114" s="3" t="str">
        <f>"Aladdin Paperbacks"</f>
        <v>Aladdin Paperbacks</v>
      </c>
      <c r="H4114" s="2" t="str">
        <f>"1998"</f>
        <v>1998</v>
      </c>
      <c r="I4114" s="3" t="str">
        <f>""</f>
        <v/>
      </c>
    </row>
    <row r="4115" spans="1:9" x14ac:dyDescent="0.3">
      <c r="A4115" s="2">
        <v>4114</v>
      </c>
      <c r="B4115" s="4" t="s">
        <v>63</v>
      </c>
      <c r="C4115" s="3" t="str">
        <f>"TFC000002728"</f>
        <v>TFC000002728</v>
      </c>
      <c r="D4115" s="3" t="str">
        <f>"F800-20-3067-(AR 6.2)"</f>
        <v>F800-20-3067-(AR 6.2)</v>
      </c>
      <c r="E4115" s="3" t="str">
        <f>"(The)miserable mill"</f>
        <v>(The)miserable mill</v>
      </c>
      <c r="F4115" s="3" t="str">
        <f>"by Lemony Snicket ; illustrations by Brett Helquist"</f>
        <v>by Lemony Snicket ; illustrations by Brett Helquist</v>
      </c>
      <c r="G4115" s="3" t="str">
        <f>"HarperCollins"</f>
        <v>HarperCollins</v>
      </c>
      <c r="H4115" s="2" t="str">
        <f>"2001"</f>
        <v>2001</v>
      </c>
      <c r="I4115" s="3" t="str">
        <f>""</f>
        <v/>
      </c>
    </row>
    <row r="4116" spans="1:9" x14ac:dyDescent="0.3">
      <c r="A4116" s="2">
        <v>4115</v>
      </c>
      <c r="B4116" s="4" t="s">
        <v>63</v>
      </c>
      <c r="C4116" s="3" t="str">
        <f>"TFC000002729"</f>
        <v>TFC000002729</v>
      </c>
      <c r="D4116" s="3" t="str">
        <f>"F800-20-3068-(AR 6.2)"</f>
        <v>F800-20-3068-(AR 6.2)</v>
      </c>
      <c r="E4116" s="3" t="str">
        <f>"Rosa Parks : my story"</f>
        <v>Rosa Parks : my story</v>
      </c>
      <c r="F4116" s="3" t="str">
        <f>"by Rosa Parks ; with Jim Haskins"</f>
        <v>by Rosa Parks ; with Jim Haskins</v>
      </c>
      <c r="G4116" s="3" t="str">
        <f>"Puffin Books"</f>
        <v>Puffin Books</v>
      </c>
      <c r="H4116" s="2" t="str">
        <f>"1999"</f>
        <v>1999</v>
      </c>
      <c r="I4116" s="3" t="str">
        <f>""</f>
        <v/>
      </c>
    </row>
    <row r="4117" spans="1:9" x14ac:dyDescent="0.3">
      <c r="A4117" s="2">
        <v>4116</v>
      </c>
      <c r="B4117" s="4" t="s">
        <v>63</v>
      </c>
      <c r="C4117" s="3" t="str">
        <f>"TFC000002730"</f>
        <v>TFC000002730</v>
      </c>
      <c r="D4117" s="3" t="str">
        <f>"F900-20-3069-(AR 6.2)"</f>
        <v>F900-20-3069-(AR 6.2)</v>
      </c>
      <c r="E4117" s="3" t="str">
        <f>"Freedom train : the story of Harriet Tubman"</f>
        <v>Freedom train : the story of Harriet Tubman</v>
      </c>
      <c r="F4117" s="3" t="str">
        <f>"by Dorothy Sterling"</f>
        <v>by Dorothy Sterling</v>
      </c>
      <c r="G4117" s="3" t="str">
        <f>"Scholastic"</f>
        <v>Scholastic</v>
      </c>
      <c r="H4117" s="2" t="str">
        <f>"1954"</f>
        <v>1954</v>
      </c>
      <c r="I4117" s="3" t="str">
        <f>""</f>
        <v/>
      </c>
    </row>
    <row r="4118" spans="1:9" x14ac:dyDescent="0.3">
      <c r="A4118" s="2">
        <v>4117</v>
      </c>
      <c r="B4118" s="4" t="s">
        <v>63</v>
      </c>
      <c r="C4118" s="3" t="str">
        <f>"TFC000002731"</f>
        <v>TFC000002731</v>
      </c>
      <c r="D4118" s="3" t="str">
        <f>"F900-20-3070-(AR 6.2)"</f>
        <v>F900-20-3070-(AR 6.2)</v>
      </c>
      <c r="E4118" s="3" t="str">
        <f>"Who is George Lucas?"</f>
        <v>Who is George Lucas?</v>
      </c>
      <c r="F4118" s="3" t="str">
        <f>"by Pam Pollack, Meg Belviso ; illustrated by Ted Hammond"</f>
        <v>by Pam Pollack, Meg Belviso ; illustrated by Ted Hammond</v>
      </c>
      <c r="G4118" s="3" t="str">
        <f>"Penguin Workshop"</f>
        <v>Penguin Workshop</v>
      </c>
      <c r="H4118" s="2" t="str">
        <f>"2014"</f>
        <v>2014</v>
      </c>
      <c r="I4118" s="3" t="str">
        <f>""</f>
        <v/>
      </c>
    </row>
    <row r="4119" spans="1:9" x14ac:dyDescent="0.3">
      <c r="A4119" s="2">
        <v>4118</v>
      </c>
      <c r="B4119" s="4" t="s">
        <v>63</v>
      </c>
      <c r="C4119" s="3" t="str">
        <f>"TFC000002732"</f>
        <v>TFC000002732</v>
      </c>
      <c r="D4119" s="3" t="str">
        <f>"F900-20-3071-(AR 6.2)"</f>
        <v>F900-20-3071-(AR 6.2)</v>
      </c>
      <c r="E4119" s="3" t="str">
        <f>"Stealing home : the story of Jackie Robinson"</f>
        <v>Stealing home : the story of Jackie Robinson</v>
      </c>
      <c r="F4119" s="3" t="str">
        <f>"Barry Denenberg"</f>
        <v>Barry Denenberg</v>
      </c>
      <c r="G4119" s="3" t="str">
        <f>"Scholastic"</f>
        <v>Scholastic</v>
      </c>
      <c r="H4119" s="2" t="str">
        <f>"1990"</f>
        <v>1990</v>
      </c>
      <c r="I4119" s="3" t="str">
        <f>""</f>
        <v/>
      </c>
    </row>
    <row r="4120" spans="1:9" x14ac:dyDescent="0.3">
      <c r="A4120" s="2">
        <v>4119</v>
      </c>
      <c r="B4120" s="4" t="s">
        <v>63</v>
      </c>
      <c r="C4120" s="3" t="str">
        <f>"TFC000003653"</f>
        <v>TFC000003653</v>
      </c>
      <c r="D4120" s="3" t="str">
        <f>"F800-21-0915-(AR 6.2)"</f>
        <v>F800-21-0915-(AR 6.2)</v>
      </c>
      <c r="E4120" s="3" t="str">
        <f>"Artemis Fowl : the atlantis complex"</f>
        <v>Artemis Fowl : the atlantis complex</v>
      </c>
      <c r="F4120" s="3" t="str">
        <f>"by Eoin Colfer"</f>
        <v>by Eoin Colfer</v>
      </c>
      <c r="G4120" s="3" t="str">
        <f>"Thorndike Press, a part of Gale, a Cengage Company"</f>
        <v>Thorndike Press, a part of Gale, a Cengage Company</v>
      </c>
      <c r="H4120" s="2" t="str">
        <f>"2020"</f>
        <v>2020</v>
      </c>
      <c r="I4120" s="3" t="str">
        <f>""</f>
        <v/>
      </c>
    </row>
    <row r="4121" spans="1:9" x14ac:dyDescent="0.3">
      <c r="A4121" s="2">
        <v>4120</v>
      </c>
      <c r="B4121" s="4" t="s">
        <v>63</v>
      </c>
      <c r="C4121" s="3" t="str">
        <f>"TFC000004606"</f>
        <v>TFC000004606</v>
      </c>
      <c r="D4121" s="3" t="str">
        <f>"F800-22-0415-(AR6.2)"</f>
        <v>F800-22-0415-(AR6.2)</v>
      </c>
      <c r="E4121" s="3" t="str">
        <f>"Sings of Survival : A Memoir of the Holocaust"</f>
        <v>Sings of Survival : A Memoir of the Holocaust</v>
      </c>
      <c r="F4121" s="3" t="str">
        <f>"by Renee Hartman, Joshua M. Greene"</f>
        <v>by Renee Hartman, Joshua M. Greene</v>
      </c>
      <c r="G4121" s="3" t="str">
        <f>"Scholastic"</f>
        <v>Scholastic</v>
      </c>
      <c r="H4121" s="2" t="str">
        <f>"2022"</f>
        <v>2022</v>
      </c>
      <c r="I4121" s="3" t="str">
        <f>""</f>
        <v/>
      </c>
    </row>
    <row r="4122" spans="1:9" x14ac:dyDescent="0.3">
      <c r="A4122" s="2">
        <v>4121</v>
      </c>
      <c r="B4122" s="4" t="s">
        <v>64</v>
      </c>
      <c r="C4122" s="3" t="str">
        <f>"TFC000002733"</f>
        <v>TFC000002733</v>
      </c>
      <c r="D4122" s="3" t="str">
        <f>"F400-20-3073-(AR 6.3)"</f>
        <v>F400-20-3073-(AR 6.3)</v>
      </c>
      <c r="E4122" s="3" t="str">
        <f>"Never smile at a monkey : and 17 other important things to remember"</f>
        <v>Never smile at a monkey : and 17 other important things to remember</v>
      </c>
      <c r="F4122" s="3" t="str">
        <f>"Steve Jenkins"</f>
        <v>Steve Jenkins</v>
      </c>
      <c r="G4122" s="3" t="str">
        <f>"Houghton Mifflin Books for Children"</f>
        <v>Houghton Mifflin Books for Children</v>
      </c>
      <c r="H4122" s="2" t="str">
        <f>"2009"</f>
        <v>2009</v>
      </c>
      <c r="I4122" s="3" t="str">
        <f>""</f>
        <v/>
      </c>
    </row>
    <row r="4123" spans="1:9" x14ac:dyDescent="0.3">
      <c r="A4123" s="2">
        <v>4122</v>
      </c>
      <c r="B4123" s="4" t="s">
        <v>64</v>
      </c>
      <c r="C4123" s="3" t="str">
        <f>"TFC000002735"</f>
        <v>TFC000002735</v>
      </c>
      <c r="D4123" s="3" t="str">
        <f>"F800-20-3075-(AR 6.3)"</f>
        <v>F800-20-3075-(AR 6.3)</v>
      </c>
      <c r="E4123" s="3" t="str">
        <f>"(The)secret garden"</f>
        <v>(The)secret garden</v>
      </c>
      <c r="F4123" s="3" t="str">
        <f>"Frances Hodgson Burnett ; introduced by Sophie Dahl"</f>
        <v>Frances Hodgson Burnett ; introduced by Sophie Dahl</v>
      </c>
      <c r="G4123" s="3" t="str">
        <f>"Puffin Books"</f>
        <v>Puffin Books</v>
      </c>
      <c r="H4123" s="2" t="str">
        <f>"2010"</f>
        <v>2010</v>
      </c>
      <c r="I4123" s="3" t="str">
        <f>""</f>
        <v/>
      </c>
    </row>
    <row r="4124" spans="1:9" x14ac:dyDescent="0.3">
      <c r="A4124" s="2">
        <v>4123</v>
      </c>
      <c r="B4124" s="4" t="s">
        <v>64</v>
      </c>
      <c r="C4124" s="3" t="str">
        <f>"TFC000002736"</f>
        <v>TFC000002736</v>
      </c>
      <c r="D4124" s="3" t="str">
        <f>"F800-20-3076-(AR 6.3)"</f>
        <v>F800-20-3076-(AR 6.3)</v>
      </c>
      <c r="E4124" s="3" t="str">
        <f>"(The)secret garden"</f>
        <v>(The)secret garden</v>
      </c>
      <c r="F4124" s="3" t="str">
        <f>"Frances Hodgson Burnett ; edited with an introduction and notes by Peter Hunt"</f>
        <v>Frances Hodgson Burnett ; edited with an introduction and notes by Peter Hunt</v>
      </c>
      <c r="G4124" s="3" t="str">
        <f>"Oxford University Press"</f>
        <v>Oxford University Press</v>
      </c>
      <c r="H4124" s="2" t="str">
        <f>"2011"</f>
        <v>2011</v>
      </c>
      <c r="I4124" s="3" t="str">
        <f>""</f>
        <v/>
      </c>
    </row>
    <row r="4125" spans="1:9" x14ac:dyDescent="0.3">
      <c r="A4125" s="2">
        <v>4124</v>
      </c>
      <c r="B4125" s="4" t="s">
        <v>64</v>
      </c>
      <c r="C4125" s="3" t="str">
        <f>"TFC000002737"</f>
        <v>TFC000002737</v>
      </c>
      <c r="D4125" s="3" t="str">
        <f>"F800-20-3077-(AR 6.3)"</f>
        <v>F800-20-3077-(AR 6.3)</v>
      </c>
      <c r="E4125" s="3" t="str">
        <f>"(The)familiars : magic isn't for wizards anymore!"</f>
        <v>(The)familiars : magic isn't for wizards anymore!</v>
      </c>
      <c r="F4125" s="3" t="str">
        <f>"Adam Jay Epstein, Andrew Jacobson ; art by Peter Chan, Kei Acedera"</f>
        <v>Adam Jay Epstein, Andrew Jacobson ; art by Peter Chan, Kei Acedera</v>
      </c>
      <c r="G4125" s="3" t="str">
        <f>"HarperCollins"</f>
        <v>HarperCollins</v>
      </c>
      <c r="H4125" s="2" t="str">
        <f>"2010"</f>
        <v>2010</v>
      </c>
      <c r="I4125" s="3" t="str">
        <f>""</f>
        <v/>
      </c>
    </row>
    <row r="4126" spans="1:9" x14ac:dyDescent="0.3">
      <c r="A4126" s="2">
        <v>4125</v>
      </c>
      <c r="B4126" s="4" t="s">
        <v>64</v>
      </c>
      <c r="C4126" s="3" t="str">
        <f>"TFC000002738"</f>
        <v>TFC000002738</v>
      </c>
      <c r="D4126" s="3" t="str">
        <f>"F800-20-3078-(AR 6.3)"</f>
        <v>F800-20-3078-(AR 6.3)</v>
      </c>
      <c r="E4126" s="3" t="str">
        <f>"(The)reptile room"</f>
        <v>(The)reptile room</v>
      </c>
      <c r="F4126" s="3" t="str">
        <f>"by Lemony Snicket ; illustrations by Brett Helquist"</f>
        <v>by Lemony Snicket ; illustrations by Brett Helquist</v>
      </c>
      <c r="G4126" s="3" t="str">
        <f>"HarperCollins"</f>
        <v>HarperCollins</v>
      </c>
      <c r="H4126" s="2" t="str">
        <f>"1999"</f>
        <v>1999</v>
      </c>
      <c r="I4126" s="3" t="str">
        <f>""</f>
        <v/>
      </c>
    </row>
    <row r="4127" spans="1:9" x14ac:dyDescent="0.3">
      <c r="A4127" s="2">
        <v>4126</v>
      </c>
      <c r="B4127" s="4" t="s">
        <v>64</v>
      </c>
      <c r="C4127" s="3" t="str">
        <f>"TFC000002739"</f>
        <v>TFC000002739</v>
      </c>
      <c r="D4127" s="3" t="str">
        <f>"F800-20-3079-(AR 6.3)"</f>
        <v>F800-20-3079-(AR 6.3)</v>
      </c>
      <c r="E4127" s="3" t="str">
        <f>"(The)wide window"</f>
        <v>(The)wide window</v>
      </c>
      <c r="F4127" s="3" t="str">
        <f>"by Lemony Snicket ; illustrations by Brett Helquist"</f>
        <v>by Lemony Snicket ; illustrations by Brett Helquist</v>
      </c>
      <c r="G4127" s="3" t="str">
        <f>"HarperCollins"</f>
        <v>HarperCollins</v>
      </c>
      <c r="H4127" s="2" t="str">
        <f>"2000"</f>
        <v>2000</v>
      </c>
      <c r="I4127" s="3" t="str">
        <f>""</f>
        <v/>
      </c>
    </row>
    <row r="4128" spans="1:9" x14ac:dyDescent="0.3">
      <c r="A4128" s="2">
        <v>4127</v>
      </c>
      <c r="B4128" s="4" t="s">
        <v>64</v>
      </c>
      <c r="C4128" s="3" t="str">
        <f>"TFC000002740"</f>
        <v>TFC000002740</v>
      </c>
      <c r="D4128" s="3" t="str">
        <f>"F800-20-3080-(AR 6.3)"</f>
        <v>F800-20-3080-(AR 6.3)</v>
      </c>
      <c r="E4128" s="3" t="str">
        <f>"(The)mysterious benedict society and the prisoner's dilemma"</f>
        <v>(The)mysterious benedict society and the prisoner's dilemma</v>
      </c>
      <c r="F4128" s="3" t="str">
        <f>"Trenton Lee Stewart ; illustrated by Diana Sudyka"</f>
        <v>Trenton Lee Stewart ; illustrated by Diana Sudyka</v>
      </c>
      <c r="G4128" s="3" t="str">
        <f>"Little, Brown and Company"</f>
        <v>Little, Brown and Company</v>
      </c>
      <c r="H4128" s="2" t="str">
        <f>"2009"</f>
        <v>2009</v>
      </c>
      <c r="I4128" s="3" t="str">
        <f>""</f>
        <v/>
      </c>
    </row>
    <row r="4129" spans="1:9" x14ac:dyDescent="0.3">
      <c r="A4129" s="2">
        <v>4128</v>
      </c>
      <c r="B4129" s="4" t="s">
        <v>64</v>
      </c>
      <c r="C4129" s="3" t="str">
        <f>"TFC000002741"</f>
        <v>TFC000002741</v>
      </c>
      <c r="D4129" s="3" t="str">
        <f>"F900-20-3081-(AR 6.3)"</f>
        <v>F900-20-3081-(AR 6.3)</v>
      </c>
      <c r="E4129" s="3" t="str">
        <f>"What was Pompeii?"</f>
        <v>What was Pompeii?</v>
      </c>
      <c r="F4129" s="3" t="str">
        <f>"by Jim O'Connor ; illustrated by John Hinderliter"</f>
        <v>by Jim O'Connor ; illustrated by John Hinderliter</v>
      </c>
      <c r="G4129" s="3" t="str">
        <f>"Penguin Workshop"</f>
        <v>Penguin Workshop</v>
      </c>
      <c r="H4129" s="2" t="str">
        <f>"2014"</f>
        <v>2014</v>
      </c>
      <c r="I4129" s="3" t="str">
        <f>""</f>
        <v/>
      </c>
    </row>
    <row r="4130" spans="1:9" x14ac:dyDescent="0.3">
      <c r="A4130" s="2">
        <v>4129</v>
      </c>
      <c r="B4130" s="4" t="s">
        <v>64</v>
      </c>
      <c r="C4130" s="3" t="str">
        <f>"TFC000002923"</f>
        <v>TFC000002923</v>
      </c>
      <c r="D4130" s="3" t="str">
        <f>"F900-20-3082-(AR 6.3)"</f>
        <v>F900-20-3082-(AR 6.3)</v>
      </c>
      <c r="E4130" s="3" t="str">
        <f>"Heroes of the Revolution"</f>
        <v>Heroes of the Revolution</v>
      </c>
      <c r="F4130" s="3" t="str">
        <f>"by David A Adler ; illustrated by Donald A Smith"</f>
        <v>by David A Adler ; illustrated by Donald A Smith</v>
      </c>
      <c r="G4130" s="3" t="str">
        <f>"Holiday House"</f>
        <v>Holiday House</v>
      </c>
      <c r="H4130" s="2" t="str">
        <f>"2003"</f>
        <v>2003</v>
      </c>
      <c r="I4130" s="3" t="str">
        <f>""</f>
        <v/>
      </c>
    </row>
    <row r="4131" spans="1:9" x14ac:dyDescent="0.3">
      <c r="A4131" s="2">
        <v>4130</v>
      </c>
      <c r="B4131" s="4" t="s">
        <v>64</v>
      </c>
      <c r="C4131" s="3" t="str">
        <f>"TFC000003931"</f>
        <v>TFC000003931</v>
      </c>
      <c r="D4131" s="3" t="str">
        <f>"F800-21-0916-(AR 6.3)"</f>
        <v>F800-21-0916-(AR 6.3)</v>
      </c>
      <c r="E4131" s="3" t="str">
        <f>"Archenemies"</f>
        <v>Archenemies</v>
      </c>
      <c r="F4131" s="3" t="str">
        <f>"by Marissa Meyer"</f>
        <v>by Marissa Meyer</v>
      </c>
      <c r="G4131" s="3" t="str">
        <f>"Feiwel and Friends"</f>
        <v>Feiwel and Friends</v>
      </c>
      <c r="H4131" s="2" t="str">
        <f>"2018"</f>
        <v>2018</v>
      </c>
      <c r="I4131" s="3" t="str">
        <f>""</f>
        <v/>
      </c>
    </row>
    <row r="4132" spans="1:9" x14ac:dyDescent="0.3">
      <c r="A4132" s="2">
        <v>4131</v>
      </c>
      <c r="B4132" s="4" t="s">
        <v>64</v>
      </c>
      <c r="C4132" s="3" t="str">
        <f>"TFC000004724"</f>
        <v>TFC000004724</v>
      </c>
      <c r="D4132" s="3" t="str">
        <f>"F800-22-0523-(AR 6.3)"</f>
        <v>F800-22-0523-(AR 6.3)</v>
      </c>
      <c r="E4132" s="3" t="str">
        <f>"Diary of a Wimpy Kid. 17, Diper Overlode"</f>
        <v>Diary of a Wimpy Kid. 17, Diper Overlode</v>
      </c>
      <c r="F4132" s="3" t="str">
        <f>"by Jeff Kinney"</f>
        <v>by Jeff Kinney</v>
      </c>
      <c r="G4132" s="3" t="str">
        <f>"Penguin Random House Children&amp;apos;s"</f>
        <v>Penguin Random House Children&amp;apos;s</v>
      </c>
      <c r="H4132" s="2" t="str">
        <f>"2022"</f>
        <v>2022</v>
      </c>
      <c r="I4132" s="3" t="str">
        <f>""</f>
        <v/>
      </c>
    </row>
    <row r="4133" spans="1:9" x14ac:dyDescent="0.3">
      <c r="A4133" s="2">
        <v>4132</v>
      </c>
      <c r="B4133" s="4" t="s">
        <v>64</v>
      </c>
      <c r="C4133" s="3" t="str">
        <f>"TFC000004519"</f>
        <v>TFC000004519</v>
      </c>
      <c r="D4133" s="3" t="str">
        <f>"F400-22-0328-(AR6.3)"</f>
        <v>F400-22-0328-(AR6.3)</v>
      </c>
      <c r="E4133" s="3" t="str">
        <f>"Bei Bei goes home : a panda story"</f>
        <v>Bei Bei goes home : a panda story</v>
      </c>
      <c r="F4133" s="3" t="str">
        <f>"by Cheryl Bardoe"</f>
        <v>by Cheryl Bardoe</v>
      </c>
      <c r="G4133" s="3" t="str">
        <f>"Candlewick Press"</f>
        <v>Candlewick Press</v>
      </c>
      <c r="H4133" s="2" t="str">
        <f>"2021"</f>
        <v>2021</v>
      </c>
      <c r="I4133" s="3" t="str">
        <f>""</f>
        <v/>
      </c>
    </row>
    <row r="4134" spans="1:9" x14ac:dyDescent="0.3">
      <c r="A4134" s="2">
        <v>4133</v>
      </c>
      <c r="B4134" s="4" t="s">
        <v>64</v>
      </c>
      <c r="C4134" s="3" t="str">
        <f>"TFC000004849"</f>
        <v>TFC000004849</v>
      </c>
      <c r="D4134" s="3" t="str">
        <f>"F800-22-0579-(AR6.3)"</f>
        <v>F800-22-0579-(AR6.3)</v>
      </c>
      <c r="E4134" s="3" t="str">
        <f>"Last Night at the Telegraph Club"</f>
        <v>Last Night at the Telegraph Club</v>
      </c>
      <c r="F4134" s="3" t="str">
        <f>"by Malinda Lo"</f>
        <v>by Malinda Lo</v>
      </c>
      <c r="G4134" s="3" t="str">
        <f>"Dutton Books"</f>
        <v>Dutton Books</v>
      </c>
      <c r="H4134" s="2" t="str">
        <f>"2021"</f>
        <v>2021</v>
      </c>
      <c r="I4134" s="3" t="str">
        <f>""</f>
        <v/>
      </c>
    </row>
    <row r="4135" spans="1:9" x14ac:dyDescent="0.3">
      <c r="A4135" s="2">
        <v>4134</v>
      </c>
      <c r="B4135" s="4" t="s">
        <v>64</v>
      </c>
      <c r="C4135" s="3" t="str">
        <f>"TFC000004637"</f>
        <v>TFC000004637</v>
      </c>
      <c r="D4135" s="3" t="str">
        <f>"F900-22-0446-(AR6.3)"</f>
        <v>F900-22-0446-(AR6.3)</v>
      </c>
      <c r="E4135" s="3" t="str">
        <f>"(A)Face for Picasso : Coming of Age with Crouzon Syndrome"</f>
        <v>(A)Face for Picasso : Coming of Age with Crouzon Syndrome</v>
      </c>
      <c r="F4135" s="3" t="str">
        <f>"by Ariel Henley"</f>
        <v>by Ariel Henley</v>
      </c>
      <c r="G4135" s="3" t="str">
        <f>"Farrar, Straus and Giroux"</f>
        <v>Farrar, Straus and Giroux</v>
      </c>
      <c r="H4135" s="2" t="str">
        <f>"2021"</f>
        <v>2021</v>
      </c>
      <c r="I4135" s="3" t="str">
        <f>""</f>
        <v/>
      </c>
    </row>
    <row r="4136" spans="1:9" x14ac:dyDescent="0.3">
      <c r="A4136" s="2">
        <v>4135</v>
      </c>
      <c r="B4136" s="4" t="s">
        <v>64</v>
      </c>
      <c r="C4136" s="3" t="str">
        <f>"TFC000004721"</f>
        <v>TFC000004721</v>
      </c>
      <c r="D4136" s="3" t="str">
        <f>"F800-22-0520-(AR6.3)"</f>
        <v>F800-22-0520-(AR6.3)</v>
      </c>
      <c r="E4136" s="3" t="str">
        <f>"Diary of a Wimpy Kid. 17, Diper Overlode"</f>
        <v>Diary of a Wimpy Kid. 17, Diper Overlode</v>
      </c>
      <c r="F4136" s="3" t="str">
        <f>"by Jeff Kinney"</f>
        <v>by Jeff Kinney</v>
      </c>
      <c r="G4136" s="3" t="str">
        <f>"Amulet Books"</f>
        <v>Amulet Books</v>
      </c>
      <c r="H4136" s="2" t="str">
        <f>"2022"</f>
        <v>2022</v>
      </c>
      <c r="I4136" s="3" t="str">
        <f>""</f>
        <v/>
      </c>
    </row>
    <row r="4137" spans="1:9" x14ac:dyDescent="0.3">
      <c r="A4137" s="2">
        <v>4136</v>
      </c>
      <c r="B4137" s="4" t="s">
        <v>65</v>
      </c>
      <c r="C4137" s="3" t="str">
        <f>"TFC000002745"</f>
        <v>TFC000002745</v>
      </c>
      <c r="D4137" s="3" t="str">
        <f>"F800-20-3086-(AR 6.4)"</f>
        <v>F800-20-3086-(AR 6.4)</v>
      </c>
      <c r="E4137" s="3" t="str">
        <f>"Just so stories"</f>
        <v>Just so stories</v>
      </c>
      <c r="F4137" s="3" t="str">
        <f>"Rudyard  Kipling ; introduced by Jonathan Stroud ; illustrations by Rudyard Kipling"</f>
        <v>Rudyard  Kipling ; introduced by Jonathan Stroud ; illustrations by Rudyard Kipling</v>
      </c>
      <c r="G4137" s="3" t="str">
        <f>"Puffin Books"</f>
        <v>Puffin Books</v>
      </c>
      <c r="H4137" s="2" t="str">
        <f>"2008"</f>
        <v>2008</v>
      </c>
      <c r="I4137" s="3" t="str">
        <f>""</f>
        <v/>
      </c>
    </row>
    <row r="4138" spans="1:9" x14ac:dyDescent="0.3">
      <c r="A4138" s="2">
        <v>4137</v>
      </c>
      <c r="B4138" s="4" t="s">
        <v>65</v>
      </c>
      <c r="C4138" s="3" t="str">
        <f>"TFC000002743"</f>
        <v>TFC000002743</v>
      </c>
      <c r="D4138" s="3" t="str">
        <f>"F800-20-3084-(AR 6.4)"</f>
        <v>F800-20-3084-(AR 6.4)</v>
      </c>
      <c r="E4138" s="3" t="str">
        <f>"Queen red riding hood's guide to royalty"</f>
        <v>Queen red riding hood's guide to royalty</v>
      </c>
      <c r="F4138" s="3" t="str">
        <f>"by Chris Colfer"</f>
        <v>by Chris Colfer</v>
      </c>
      <c r="G4138" s="3" t="str">
        <f>"Little Brown and Company"</f>
        <v>Little Brown and Company</v>
      </c>
      <c r="H4138" s="2" t="str">
        <f>"2017"</f>
        <v>2017</v>
      </c>
      <c r="I4138" s="3" t="str">
        <f>""</f>
        <v/>
      </c>
    </row>
    <row r="4139" spans="1:9" x14ac:dyDescent="0.3">
      <c r="A4139" s="2">
        <v>4138</v>
      </c>
      <c r="B4139" s="4" t="s">
        <v>65</v>
      </c>
      <c r="C4139" s="3" t="str">
        <f>"TFC000002744"</f>
        <v>TFC000002744</v>
      </c>
      <c r="D4139" s="3" t="str">
        <f>"F800-20-3085-(AR 6.4)"</f>
        <v>F800-20-3085-(AR 6.4)</v>
      </c>
      <c r="E4139" s="3" t="str">
        <f>"Ghostgirl : Homecoming"</f>
        <v>Ghostgirl : Homecoming</v>
      </c>
      <c r="F4139" s="3" t="str">
        <f>"by Tonya Hurley"</f>
        <v>by Tonya Hurley</v>
      </c>
      <c r="G4139" s="3" t="str">
        <f>"Little, Brown and Company"</f>
        <v>Little, Brown and Company</v>
      </c>
      <c r="H4139" s="2" t="str">
        <f>"2009"</f>
        <v>2009</v>
      </c>
      <c r="I4139" s="3" t="str">
        <f>""</f>
        <v/>
      </c>
    </row>
    <row r="4140" spans="1:9" x14ac:dyDescent="0.3">
      <c r="A4140" s="2">
        <v>4139</v>
      </c>
      <c r="B4140" s="4" t="s">
        <v>65</v>
      </c>
      <c r="C4140" s="3" t="str">
        <f>"TFC000002746"</f>
        <v>TFC000002746</v>
      </c>
      <c r="D4140" s="3" t="str">
        <f>"F800-20-3087-(AR 6.4)"</f>
        <v>F800-20-3087-(AR 6.4)</v>
      </c>
      <c r="E4140" s="3" t="str">
        <f>"How I came to be a writer"</f>
        <v>How I came to be a writer</v>
      </c>
      <c r="F4140" s="3" t="str">
        <f>"Phyllis Reynolds Naylor"</f>
        <v>Phyllis Reynolds Naylor</v>
      </c>
      <c r="G4140" s="3" t="str">
        <f>"Aladdin Paperbacks"</f>
        <v>Aladdin Paperbacks</v>
      </c>
      <c r="H4140" s="2" t="str">
        <f>"2001"</f>
        <v>2001</v>
      </c>
      <c r="I4140" s="3" t="str">
        <f>""</f>
        <v/>
      </c>
    </row>
    <row r="4141" spans="1:9" x14ac:dyDescent="0.3">
      <c r="A4141" s="2">
        <v>4140</v>
      </c>
      <c r="B4141" s="4" t="s">
        <v>65</v>
      </c>
      <c r="C4141" s="3" t="str">
        <f>"TFC000002747"</f>
        <v>TFC000002747</v>
      </c>
      <c r="D4141" s="3" t="str">
        <f>"F800-20-3088-(AR 6.4)"</f>
        <v>F800-20-3088-(AR 6.4)</v>
      </c>
      <c r="E4141" s="3" t="str">
        <f>"(The)bad beginning"</f>
        <v>(The)bad beginning</v>
      </c>
      <c r="F4141" s="3" t="str">
        <f>"by Lemony Snicket ; illustrations by Brett Helquist"</f>
        <v>by Lemony Snicket ; illustrations by Brett Helquist</v>
      </c>
      <c r="G4141" s="3" t="str">
        <f>"HarperCollins"</f>
        <v>HarperCollins</v>
      </c>
      <c r="H4141" s="2" t="str">
        <f>"1999"</f>
        <v>1999</v>
      </c>
      <c r="I4141" s="3" t="str">
        <f>""</f>
        <v/>
      </c>
    </row>
    <row r="4142" spans="1:9" x14ac:dyDescent="0.3">
      <c r="A4142" s="2">
        <v>4141</v>
      </c>
      <c r="B4142" s="4" t="s">
        <v>65</v>
      </c>
      <c r="C4142" s="3" t="str">
        <f>"TFC000002748"</f>
        <v>TFC000002748</v>
      </c>
      <c r="D4142" s="3" t="str">
        <f>"F800-20-3089-(AR 6.4)"</f>
        <v>F800-20-3089-(AR 6.4)</v>
      </c>
      <c r="E4142" s="3" t="str">
        <f>"(The)egypt game"</f>
        <v>(The)egypt game</v>
      </c>
      <c r="F4142" s="3" t="str">
        <f>"by Zilpha Keatley Snyder ; illustrated by Alton Raible"</f>
        <v>by Zilpha Keatley Snyder ; illustrated by Alton Raible</v>
      </c>
      <c r="G4142" s="3" t="str">
        <f>"Atheneum Book"</f>
        <v>Atheneum Book</v>
      </c>
      <c r="H4142" s="2" t="str">
        <f>"2009"</f>
        <v>2009</v>
      </c>
      <c r="I4142" s="3" t="str">
        <f>""</f>
        <v/>
      </c>
    </row>
    <row r="4143" spans="1:9" x14ac:dyDescent="0.3">
      <c r="A4143" s="2">
        <v>4142</v>
      </c>
      <c r="B4143" s="4" t="s">
        <v>65</v>
      </c>
      <c r="C4143" s="3" t="str">
        <f>"TFC000002749"</f>
        <v>TFC000002749</v>
      </c>
      <c r="D4143" s="3" t="str">
        <f>"F900-20-3090-(AR 6.4)"</f>
        <v>F900-20-3090-(AR 6.4)</v>
      </c>
      <c r="E4143" s="3" t="str">
        <f>"You want women to vote, lizzie stanton?"</f>
        <v>You want women to vote, lizzie stanton?</v>
      </c>
      <c r="F4143" s="3" t="str">
        <f>"Jean Fritz ; illustrated by DyAnne DiSalvo-Ryan"</f>
        <v>Jean Fritz ; illustrated by DyAnne DiSalvo-Ryan</v>
      </c>
      <c r="G4143" s="3" t="str">
        <f>"Paperstar"</f>
        <v>Paperstar</v>
      </c>
      <c r="H4143" s="2" t="str">
        <f>"1999"</f>
        <v>1999</v>
      </c>
      <c r="I4143" s="3" t="str">
        <f>""</f>
        <v/>
      </c>
    </row>
    <row r="4144" spans="1:9" x14ac:dyDescent="0.3">
      <c r="A4144" s="2">
        <v>4143</v>
      </c>
      <c r="B4144" s="4" t="s">
        <v>65</v>
      </c>
      <c r="C4144" s="3" t="str">
        <f>"TFC000002750"</f>
        <v>TFC000002750</v>
      </c>
      <c r="D4144" s="3" t="str">
        <f>"F900-20-3091-(AR 6.4)"</f>
        <v>F900-20-3091-(AR 6.4)</v>
      </c>
      <c r="E4144" s="3" t="str">
        <f>"Who was Clara Barton?"</f>
        <v>Who was Clara Barton?</v>
      </c>
      <c r="F4144" s="3" t="str">
        <f>"by Stephanie Spinner ; illustrated by David Groff"</f>
        <v>by Stephanie Spinner ; illustrated by David Groff</v>
      </c>
      <c r="G4144" s="3" t="str">
        <f>"Penguin Workshop"</f>
        <v>Penguin Workshop</v>
      </c>
      <c r="H4144" s="2" t="str">
        <f>"2015"</f>
        <v>2015</v>
      </c>
      <c r="I4144" s="3" t="str">
        <f>""</f>
        <v/>
      </c>
    </row>
    <row r="4145" spans="1:9" x14ac:dyDescent="0.3">
      <c r="A4145" s="2">
        <v>4144</v>
      </c>
      <c r="B4145" s="4" t="s">
        <v>65</v>
      </c>
      <c r="C4145" s="3" t="str">
        <f>"TFC000002751"</f>
        <v>TFC000002751</v>
      </c>
      <c r="D4145" s="3" t="str">
        <f>"F900-20-3092-(AR 6.4)"</f>
        <v>F900-20-3092-(AR 6.4)</v>
      </c>
      <c r="E4145" s="3" t="str">
        <f>"Who is Steven Spielberg?"</f>
        <v>Who is Steven Spielberg?</v>
      </c>
      <c r="F4145" s="3" t="str">
        <f>"by Stephanie Spinner ; illustrated by Daniel Mather"</f>
        <v>by Stephanie Spinner ; illustrated by Daniel Mather</v>
      </c>
      <c r="G4145" s="3" t="str">
        <f>"Penguin Workshop"</f>
        <v>Penguin Workshop</v>
      </c>
      <c r="H4145" s="2" t="str">
        <f>"2013"</f>
        <v>2013</v>
      </c>
      <c r="I4145" s="3" t="str">
        <f>""</f>
        <v/>
      </c>
    </row>
    <row r="4146" spans="1:9" x14ac:dyDescent="0.3">
      <c r="A4146" s="2">
        <v>4145</v>
      </c>
      <c r="B4146" s="4" t="s">
        <v>66</v>
      </c>
      <c r="C4146" s="3" t="str">
        <f>"TFC000002752"</f>
        <v>TFC000002752</v>
      </c>
      <c r="D4146" s="3" t="str">
        <f>"F800-20-3093-(AR 6.5)"</f>
        <v>F800-20-3093-(AR 6.5)</v>
      </c>
      <c r="E4146" s="3" t="str">
        <f>"Adam of the road"</f>
        <v>Adam of the road</v>
      </c>
      <c r="F4146" s="3" t="str">
        <f>"by Elizabeth Janet Gray ; illustrated by Robert Lawson"</f>
        <v>by Elizabeth Janet Gray ; illustrated by Robert Lawson</v>
      </c>
      <c r="G4146" s="3" t="str">
        <f>"Puffin Books"</f>
        <v>Puffin Books</v>
      </c>
      <c r="H4146" s="2" t="str">
        <f>"1988"</f>
        <v>1988</v>
      </c>
      <c r="I4146" s="3" t="str">
        <f>""</f>
        <v/>
      </c>
    </row>
    <row r="4147" spans="1:9" x14ac:dyDescent="0.3">
      <c r="A4147" s="2">
        <v>4146</v>
      </c>
      <c r="B4147" s="4" t="s">
        <v>66</v>
      </c>
      <c r="C4147" s="3" t="str">
        <f>"TFC000002753"</f>
        <v>TFC000002753</v>
      </c>
      <c r="D4147" s="3" t="str">
        <f>"F800-20-3094-(AR 6.5)"</f>
        <v>F800-20-3094-(AR 6.5)</v>
      </c>
      <c r="E4147" s="3" t="str">
        <f>"(The)great wheel"</f>
        <v>(The)great wheel</v>
      </c>
      <c r="F4147" s="3" t="str">
        <f>"text and illustrations by Robert Lawson ; foreword by Richard Peck"</f>
        <v>text and illustrations by Robert Lawson ; foreword by Richard Peck</v>
      </c>
      <c r="G4147" s="3" t="str">
        <f>"Walker"</f>
        <v>Walker</v>
      </c>
      <c r="H4147" s="2" t="str">
        <f>"2004"</f>
        <v>2004</v>
      </c>
      <c r="I4147" s="3" t="str">
        <f>""</f>
        <v/>
      </c>
    </row>
    <row r="4148" spans="1:9" x14ac:dyDescent="0.3">
      <c r="A4148" s="2">
        <v>4147</v>
      </c>
      <c r="B4148" s="4" t="s">
        <v>66</v>
      </c>
      <c r="C4148" s="3" t="str">
        <f>"TFC000002754"</f>
        <v>TFC000002754</v>
      </c>
      <c r="D4148" s="3" t="str">
        <f>"F800-20-3095-(AR 6.5)"</f>
        <v>F800-20-3095-(AR 6.5)</v>
      </c>
      <c r="E4148" s="3" t="str">
        <f>"I, Juan de Pareja"</f>
        <v>I, Juan de Pareja</v>
      </c>
      <c r="F4148" s="3" t="str">
        <f>"by Elizabeth Borton de Trevino"</f>
        <v>by Elizabeth Borton de Trevino</v>
      </c>
      <c r="G4148" s="3" t="str">
        <f>"Square Fish"</f>
        <v>Square Fish</v>
      </c>
      <c r="H4148" s="2" t="str">
        <f>"2008"</f>
        <v>2008</v>
      </c>
      <c r="I4148" s="3" t="str">
        <f>""</f>
        <v/>
      </c>
    </row>
    <row r="4149" spans="1:9" x14ac:dyDescent="0.3">
      <c r="A4149" s="2">
        <v>4148</v>
      </c>
      <c r="B4149" s="4" t="s">
        <v>66</v>
      </c>
      <c r="C4149" s="3" t="str">
        <f>"TFC000002755"</f>
        <v>TFC000002755</v>
      </c>
      <c r="D4149" s="3" t="str">
        <f>"F800-20-3096-(AR 6.5)"</f>
        <v>F800-20-3096-(AR 6.5)</v>
      </c>
      <c r="E4149" s="3" t="str">
        <f>"How to train your dragon. 2, how to be a pirate"</f>
        <v>How to train your dragon. 2, how to be a pirate</v>
      </c>
      <c r="F4149" s="3" t="str">
        <f>"by Cressida Cowell"</f>
        <v>by Cressida Cowell</v>
      </c>
      <c r="G4149" s="3" t="str">
        <f>"Little, Brown and company"</f>
        <v>Little, Brown and company</v>
      </c>
      <c r="H4149" s="2" t="str">
        <f>"2010"</f>
        <v>2010</v>
      </c>
      <c r="I4149" s="3" t="str">
        <f>""</f>
        <v/>
      </c>
    </row>
    <row r="4150" spans="1:9" x14ac:dyDescent="0.3">
      <c r="A4150" s="2">
        <v>4149</v>
      </c>
      <c r="B4150" s="4" t="s">
        <v>66</v>
      </c>
      <c r="C4150" s="3" t="str">
        <f>"TFC000002756"</f>
        <v>TFC000002756</v>
      </c>
      <c r="D4150" s="3" t="str">
        <f>"F800-20-3097-(AR 6.5)"</f>
        <v>F800-20-3097-(AR 6.5)</v>
      </c>
      <c r="E4150" s="3" t="str">
        <f>"(The)grim grotto"</f>
        <v>(The)grim grotto</v>
      </c>
      <c r="F4150" s="3" t="str">
        <f>"by Lemony Snicket ; illustrations by Brett Helquist"</f>
        <v>by Lemony Snicket ; illustrations by Brett Helquist</v>
      </c>
      <c r="G4150" s="3" t="str">
        <f>"HarperCollins"</f>
        <v>HarperCollins</v>
      </c>
      <c r="H4150" s="2" t="str">
        <f>"2004"</f>
        <v>2004</v>
      </c>
      <c r="I4150" s="3" t="str">
        <f>""</f>
        <v/>
      </c>
    </row>
    <row r="4151" spans="1:9" x14ac:dyDescent="0.3">
      <c r="A4151" s="2">
        <v>4150</v>
      </c>
      <c r="B4151" s="4" t="s">
        <v>66</v>
      </c>
      <c r="C4151" s="3" t="str">
        <f>"TFC000003051"</f>
        <v>TFC000003051</v>
      </c>
      <c r="D4151" s="3" t="str">
        <f>"F800-20-3099-(AR 6.5)"</f>
        <v>F800-20-3099-(AR 6.5)</v>
      </c>
      <c r="E4151" s="3" t="str">
        <f>"Lion : a long way home"</f>
        <v>Lion : a long way home</v>
      </c>
      <c r="F4151" s="3" t="str">
        <f>"Saroo Brierley, Larry Buttrose ; edited by Nan McNab"</f>
        <v>Saroo Brierley, Larry Buttrose ; edited by Nan McNab</v>
      </c>
      <c r="G4151" s="3" t="str">
        <f>"Puffin Books"</f>
        <v>Puffin Books</v>
      </c>
      <c r="H4151" s="2" t="str">
        <f>"2017"</f>
        <v>2017</v>
      </c>
      <c r="I4151" s="3" t="str">
        <f>""</f>
        <v/>
      </c>
    </row>
    <row r="4152" spans="1:9" x14ac:dyDescent="0.3">
      <c r="A4152" s="2">
        <v>4151</v>
      </c>
      <c r="B4152" s="4" t="s">
        <v>66</v>
      </c>
      <c r="C4152" s="3" t="str">
        <f>"TFC000003411"</f>
        <v>TFC000003411</v>
      </c>
      <c r="D4152" s="3" t="str">
        <f>"F800-21-0917-(AR 6.5)"</f>
        <v>F800-21-0917-(AR 6.5)</v>
      </c>
      <c r="E4152" s="3" t="str">
        <f>"Amos Fortune, free man"</f>
        <v>Amos Fortune, free man</v>
      </c>
      <c r="F4152" s="3" t="str">
        <f>"by Elizabeth Yates ; illustrated by Nora S. Unwin"</f>
        <v>by Elizabeth Yates ; illustrated by Nora S. Unwin</v>
      </c>
      <c r="G4152" s="3" t="str">
        <f>"Puffin Books"</f>
        <v>Puffin Books</v>
      </c>
      <c r="H4152" s="2" t="str">
        <f>"2007"</f>
        <v>2007</v>
      </c>
      <c r="I4152" s="3" t="str">
        <f>""</f>
        <v/>
      </c>
    </row>
    <row r="4153" spans="1:9" x14ac:dyDescent="0.3">
      <c r="A4153" s="2">
        <v>4152</v>
      </c>
      <c r="B4153" s="4" t="s">
        <v>66</v>
      </c>
      <c r="C4153" s="3" t="str">
        <f>"TFC000003928"</f>
        <v>TFC000003928</v>
      </c>
      <c r="D4153" s="3" t="str">
        <f>"F800-21-0918-(AR 6.5)"</f>
        <v>F800-21-0918-(AR 6.5)</v>
      </c>
      <c r="E4153" s="3" t="str">
        <f>"Scythe"</f>
        <v>Scythe</v>
      </c>
      <c r="F4153" s="3" t="str">
        <f>"Neal Shusterman"</f>
        <v>Neal Shusterman</v>
      </c>
      <c r="G4153" s="3" t="str">
        <f>"Simon &amp; Schuster"</f>
        <v>Simon &amp; Schuster</v>
      </c>
      <c r="H4153" s="2" t="str">
        <f>"2016"</f>
        <v>2016</v>
      </c>
      <c r="I4153" s="3" t="str">
        <f>""</f>
        <v/>
      </c>
    </row>
    <row r="4154" spans="1:9" x14ac:dyDescent="0.3">
      <c r="A4154" s="2">
        <v>4153</v>
      </c>
      <c r="B4154" s="4" t="s">
        <v>66</v>
      </c>
      <c r="C4154" s="3" t="str">
        <f>"TFC000004593"</f>
        <v>TFC000004593</v>
      </c>
      <c r="D4154" s="3" t="str">
        <f>"F500-22-0402-(AR6.5)"</f>
        <v>F500-22-0402-(AR6.5)</v>
      </c>
      <c r="E4154" s="3" t="str">
        <f>"Superpower Dpges : Henry, Avalanche Rescue Dog"</f>
        <v>Superpower Dpges : Henry, Avalanche Rescue Dog</v>
      </c>
      <c r="F4154" s="3" t="str">
        <f>"by Cosmic"</f>
        <v>by Cosmic</v>
      </c>
      <c r="G4154" s="3" t="str">
        <f>"Little Brown"</f>
        <v>Little Brown</v>
      </c>
      <c r="H4154" s="2" t="str">
        <f>"2019"</f>
        <v>2019</v>
      </c>
      <c r="I4154" s="3" t="str">
        <f>""</f>
        <v/>
      </c>
    </row>
    <row r="4155" spans="1:9" x14ac:dyDescent="0.3">
      <c r="A4155" s="2">
        <v>4154</v>
      </c>
      <c r="B4155" s="4" t="s">
        <v>67</v>
      </c>
      <c r="C4155" s="3" t="str">
        <f>"TFC000002757"</f>
        <v>TFC000002757</v>
      </c>
      <c r="D4155" s="3" t="str">
        <f>"F200-20-3100-(AR 6.6)"</f>
        <v>F200-20-3100-(AR 6.6)</v>
      </c>
      <c r="E4155" s="3" t="str">
        <f>"D'Aulaire's book of Greek myths"</f>
        <v>D'Aulaire's book of Greek myths</v>
      </c>
      <c r="F4155" s="3" t="str">
        <f>"Ingri D'Aulaire, by Edgar Parin D'Aulaire"</f>
        <v>Ingri D'Aulaire, by Edgar Parin D'Aulaire</v>
      </c>
      <c r="G4155" s="3" t="str">
        <f>"Delacorte"</f>
        <v>Delacorte</v>
      </c>
      <c r="H4155" s="2" t="str">
        <f>"2017"</f>
        <v>2017</v>
      </c>
      <c r="I4155" s="3" t="str">
        <f>""</f>
        <v/>
      </c>
    </row>
    <row r="4156" spans="1:9" x14ac:dyDescent="0.3">
      <c r="A4156" s="2">
        <v>4155</v>
      </c>
      <c r="B4156" s="4" t="s">
        <v>67</v>
      </c>
      <c r="C4156" s="3" t="str">
        <f>"TFC000002759"</f>
        <v>TFC000002759</v>
      </c>
      <c r="D4156" s="3" t="str">
        <f>"F800-20-3102-(AR 6.6)"</f>
        <v>F800-20-3102-(AR 6.6)</v>
      </c>
      <c r="E4156" s="3" t="str">
        <f>"(The)hobbit : or there and back again"</f>
        <v>(The)hobbit : or there and back again</v>
      </c>
      <c r="F4156" s="3" t="str">
        <f>"J.R.R. Tolkien"</f>
        <v>J.R.R. Tolkien</v>
      </c>
      <c r="G4156" s="3" t="str">
        <f>"Mariner Books"</f>
        <v>Mariner Books</v>
      </c>
      <c r="H4156" s="2" t="str">
        <f>"2012"</f>
        <v>2012</v>
      </c>
      <c r="I4156" s="3" t="str">
        <f>""</f>
        <v/>
      </c>
    </row>
    <row r="4157" spans="1:9" x14ac:dyDescent="0.3">
      <c r="A4157" s="2">
        <v>4156</v>
      </c>
      <c r="B4157" s="4" t="s">
        <v>67</v>
      </c>
      <c r="C4157" s="3" t="str">
        <f>"TFC000002760"</f>
        <v>TFC000002760</v>
      </c>
      <c r="D4157" s="3" t="str">
        <f>"F800-20-3103-(AR 6.6)"</f>
        <v>F800-20-3103-(AR 6.6)</v>
      </c>
      <c r="E4157" s="3" t="str">
        <f>"How to train your dragon. 1, How to train your dragon"</f>
        <v>How to train your dragon. 1, How to train your dragon</v>
      </c>
      <c r="F4157" s="3" t="str">
        <f>"by Cressida Cowell"</f>
        <v>by Cressida Cowell</v>
      </c>
      <c r="G4157" s="3" t="str">
        <f>"Little, Brown and company"</f>
        <v>Little, Brown and company</v>
      </c>
      <c r="H4157" s="2" t="str">
        <f>"2010"</f>
        <v>2010</v>
      </c>
      <c r="I4157" s="3" t="str">
        <f>""</f>
        <v/>
      </c>
    </row>
    <row r="4158" spans="1:9" x14ac:dyDescent="0.3">
      <c r="A4158" s="2">
        <v>4157</v>
      </c>
      <c r="B4158" s="4" t="s">
        <v>67</v>
      </c>
      <c r="C4158" s="3" t="str">
        <f>"TFC000002761"</f>
        <v>TFC000002761</v>
      </c>
      <c r="D4158" s="3" t="str">
        <f>"F800-20-3104-(AR 6.6)"</f>
        <v>F800-20-3104-(AR 6.6)</v>
      </c>
      <c r="E4158" s="3" t="str">
        <f>"(The)Ersatz elevator"</f>
        <v>(The)Ersatz elevator</v>
      </c>
      <c r="F4158" s="3" t="str">
        <f>"by Lemony Snicket ; illustrations by Brett Helquist"</f>
        <v>by Lemony Snicket ; illustrations by Brett Helquist</v>
      </c>
      <c r="G4158" s="3" t="str">
        <f>"HarperCollins"</f>
        <v>HarperCollins</v>
      </c>
      <c r="H4158" s="2" t="str">
        <f>"2001"</f>
        <v>2001</v>
      </c>
      <c r="I4158" s="3" t="str">
        <f>""</f>
        <v/>
      </c>
    </row>
    <row r="4159" spans="1:9" x14ac:dyDescent="0.3">
      <c r="A4159" s="2">
        <v>4158</v>
      </c>
      <c r="B4159" s="4" t="s">
        <v>67</v>
      </c>
      <c r="C4159" s="3" t="str">
        <f>"TFC000002762"</f>
        <v>TFC000002762</v>
      </c>
      <c r="D4159" s="3" t="str">
        <f>"F800-20-3105-(AR 6.6)"</f>
        <v>F800-20-3105-(AR 6.6)</v>
      </c>
      <c r="E4159" s="3" t="str">
        <f>"(The)carnivorous carnival"</f>
        <v>(The)carnivorous carnival</v>
      </c>
      <c r="F4159" s="3" t="str">
        <f>"by Lemony Snicket ; illustrations by Brett Helquist"</f>
        <v>by Lemony Snicket ; illustrations by Brett Helquist</v>
      </c>
      <c r="G4159" s="3" t="str">
        <f>"HarperCollins"</f>
        <v>HarperCollins</v>
      </c>
      <c r="H4159" s="2" t="str">
        <f>"2002"</f>
        <v>2002</v>
      </c>
      <c r="I4159" s="3" t="str">
        <f>""</f>
        <v/>
      </c>
    </row>
    <row r="4160" spans="1:9" x14ac:dyDescent="0.3">
      <c r="A4160" s="2">
        <v>4159</v>
      </c>
      <c r="B4160" s="4" t="s">
        <v>67</v>
      </c>
      <c r="C4160" s="3" t="str">
        <f>"TFC000002926"</f>
        <v>TFC000002926</v>
      </c>
      <c r="D4160" s="3" t="str">
        <f>"F900-20-3107-(AR 6.6)"</f>
        <v>F900-20-3107-(AR 6.6)</v>
      </c>
      <c r="E4160" s="3" t="str">
        <f>"Heroes for civil rights"</f>
        <v>Heroes for civil rights</v>
      </c>
      <c r="F4160" s="3" t="str">
        <f>"by David A. Adler ; illustrated by Bill Farnsworth"</f>
        <v>by David A. Adler ; illustrated by Bill Farnsworth</v>
      </c>
      <c r="G4160" s="3" t="str">
        <f>"Holiday House"</f>
        <v>Holiday House</v>
      </c>
      <c r="H4160" s="2" t="str">
        <f>"2008"</f>
        <v>2008</v>
      </c>
      <c r="I4160" s="3" t="str">
        <f>""</f>
        <v/>
      </c>
    </row>
    <row r="4161" spans="1:9" x14ac:dyDescent="0.3">
      <c r="A4161" s="2">
        <v>4160</v>
      </c>
      <c r="B4161" s="4" t="s">
        <v>67</v>
      </c>
      <c r="C4161" s="3" t="str">
        <f>"TFC000003421"</f>
        <v>TFC000003421</v>
      </c>
      <c r="D4161" s="3" t="str">
        <f>"F800-21-0920-(AR 6.6)"</f>
        <v>F800-21-0920-(AR 6.6)</v>
      </c>
      <c r="E4161" s="3" t="str">
        <f>"(A)single shard"</f>
        <v>(A)single shard</v>
      </c>
      <c r="F4161" s="3" t="str">
        <f>"by Linda Sue Park"</f>
        <v>by Linda Sue Park</v>
      </c>
      <c r="G4161" s="3" t="str">
        <f>"Sandpiper"</f>
        <v>Sandpiper</v>
      </c>
      <c r="H4161" s="2" t="str">
        <f>"2011"</f>
        <v>2011</v>
      </c>
      <c r="I4161" s="3" t="str">
        <f>""</f>
        <v/>
      </c>
    </row>
    <row r="4162" spans="1:9" x14ac:dyDescent="0.3">
      <c r="A4162" s="2">
        <v>4161</v>
      </c>
      <c r="B4162" s="4" t="s">
        <v>67</v>
      </c>
      <c r="C4162" s="3" t="str">
        <f>"TFC000003469"</f>
        <v>TFC000003469</v>
      </c>
      <c r="D4162" s="3" t="str">
        <f>"F800-21-0921-(AR 6.6)"</f>
        <v>F800-21-0921-(AR 6.6)</v>
      </c>
      <c r="E4162" s="3" t="str">
        <f>"Artemis fowl and the last guardian"</f>
        <v>Artemis fowl and the last guardian</v>
      </c>
      <c r="F4162" s="3" t="str">
        <f>"by Eoin Colfer"</f>
        <v>by Eoin Colfer</v>
      </c>
      <c r="G4162" s="3" t="str">
        <f>"Puffin Books"</f>
        <v>Puffin Books</v>
      </c>
      <c r="H4162" s="2" t="str">
        <f>"2018"</f>
        <v>2018</v>
      </c>
      <c r="I4162" s="3" t="str">
        <f>""</f>
        <v/>
      </c>
    </row>
    <row r="4163" spans="1:9" x14ac:dyDescent="0.3">
      <c r="A4163" s="2">
        <v>4162</v>
      </c>
      <c r="B4163" s="4" t="s">
        <v>67</v>
      </c>
      <c r="C4163" s="3" t="str">
        <f>"TFC000003938"</f>
        <v>TFC000003938</v>
      </c>
      <c r="D4163" s="3" t="str">
        <f>"F800-21-0923-(AR 6.6)16"</f>
        <v>F800-21-0923-(AR 6.6)16</v>
      </c>
      <c r="E4163" s="3" t="str">
        <f>"Diary of a wimpy kid. 16, Big Shot"</f>
        <v>Diary of a wimpy kid. 16, Big Shot</v>
      </c>
      <c r="F4163" s="3" t="str">
        <f>"by Jeff Kinney"</f>
        <v>by Jeff Kinney</v>
      </c>
      <c r="G4163" s="3" t="str">
        <f>"Amulet Books"</f>
        <v>Amulet Books</v>
      </c>
      <c r="H4163" s="2" t="str">
        <f>"2021"</f>
        <v>2021</v>
      </c>
      <c r="I4163" s="3" t="str">
        <f>""</f>
        <v/>
      </c>
    </row>
    <row r="4164" spans="1:9" x14ac:dyDescent="0.3">
      <c r="A4164" s="2">
        <v>4163</v>
      </c>
      <c r="B4164" s="4" t="s">
        <v>68</v>
      </c>
      <c r="C4164" s="3" t="str">
        <f>"TFC000002764"</f>
        <v>TFC000002764</v>
      </c>
      <c r="D4164" s="3" t="str">
        <f>"F800-20-3109-(AR 6.7)"</f>
        <v>F800-20-3109-(AR 6.7)</v>
      </c>
      <c r="E4164" s="3" t="str">
        <f>"(The)phantom tollbooth"</f>
        <v>(The)phantom tollbooth</v>
      </c>
      <c r="F4164" s="3" t="str">
        <f>"Norton Juster ; illustrations by Jules Feiffer ; with an appreciation by Maurice Sendak"</f>
        <v>Norton Juster ; illustrations by Jules Feiffer ; with an appreciation by Maurice Sendak</v>
      </c>
      <c r="G4164" s="3" t="str">
        <f>"Yearling Book"</f>
        <v>Yearling Book</v>
      </c>
      <c r="H4164" s="2" t="str">
        <f>"2001"</f>
        <v>2001</v>
      </c>
      <c r="I4164" s="3" t="str">
        <f>""</f>
        <v/>
      </c>
    </row>
    <row r="4165" spans="1:9" x14ac:dyDescent="0.3">
      <c r="A4165" s="2">
        <v>4164</v>
      </c>
      <c r="B4165" s="4" t="s">
        <v>68</v>
      </c>
      <c r="C4165" s="3" t="str">
        <f>"TFC000002765"</f>
        <v>TFC000002765</v>
      </c>
      <c r="D4165" s="3" t="str">
        <f>"F800-20-3110-(AR 6.7)"</f>
        <v>F800-20-3110-(AR 6.7)</v>
      </c>
      <c r="E4165" s="3" t="str">
        <f>"(A)wizard of earthsea"</f>
        <v>(A)wizard of earthsea</v>
      </c>
      <c r="F4165" s="3" t="str">
        <f>"Ursula K. Le Guin"</f>
        <v>Ursula K. Le Guin</v>
      </c>
      <c r="G4165" s="3" t="str">
        <f>"Houghton Mifflin Harcourt"</f>
        <v>Houghton Mifflin Harcourt</v>
      </c>
      <c r="H4165" s="2" t="str">
        <f>"2012"</f>
        <v>2012</v>
      </c>
      <c r="I4165" s="3" t="str">
        <f>""</f>
        <v/>
      </c>
    </row>
    <row r="4166" spans="1:9" x14ac:dyDescent="0.3">
      <c r="A4166" s="2">
        <v>4165</v>
      </c>
      <c r="B4166" s="4" t="s">
        <v>68</v>
      </c>
      <c r="C4166" s="3" t="str">
        <f>"TFC000002769"</f>
        <v>TFC000002769</v>
      </c>
      <c r="D4166" s="3" t="str">
        <f>"F800-20-3114-(AR 6.7)"</f>
        <v>F800-20-3114-(AR 6.7)</v>
      </c>
      <c r="E4166" s="3" t="str">
        <f>"(The)Austere academy"</f>
        <v>(The)Austere academy</v>
      </c>
      <c r="F4166" s="3" t="str">
        <f>"by Lemony Snicket ; illustrations by Brett Helquist"</f>
        <v>by Lemony Snicket ; illustrations by Brett Helquist</v>
      </c>
      <c r="G4166" s="3" t="str">
        <f>"HarperCollins"</f>
        <v>HarperCollins</v>
      </c>
      <c r="H4166" s="2" t="str">
        <f>"2000"</f>
        <v>2000</v>
      </c>
      <c r="I4166" s="3" t="str">
        <f>""</f>
        <v/>
      </c>
    </row>
    <row r="4167" spans="1:9" x14ac:dyDescent="0.3">
      <c r="A4167" s="2">
        <v>4166</v>
      </c>
      <c r="B4167" s="4" t="s">
        <v>68</v>
      </c>
      <c r="C4167" s="3" t="str">
        <f>"TFC000002770"</f>
        <v>TFC000002770</v>
      </c>
      <c r="D4167" s="3" t="str">
        <f>"F800-20-3115-(AR 6.7)"</f>
        <v>F800-20-3115-(AR 6.7)</v>
      </c>
      <c r="E4167" s="3" t="str">
        <f>"(The)vile village"</f>
        <v>(The)vile village</v>
      </c>
      <c r="F4167" s="3" t="str">
        <f>"by Lemony Snicket ; illustrations by Brett Helquist"</f>
        <v>by Lemony Snicket ; illustrations by Brett Helquist</v>
      </c>
      <c r="G4167" s="3" t="str">
        <f>"HarperCollins"</f>
        <v>HarperCollins</v>
      </c>
      <c r="H4167" s="2" t="str">
        <f>"2001"</f>
        <v>2001</v>
      </c>
      <c r="I4167" s="3" t="str">
        <f>""</f>
        <v/>
      </c>
    </row>
    <row r="4168" spans="1:9" x14ac:dyDescent="0.3">
      <c r="A4168" s="2">
        <v>4167</v>
      </c>
      <c r="B4168" s="4" t="s">
        <v>68</v>
      </c>
      <c r="C4168" s="3" t="str">
        <f>"TFC000002771"</f>
        <v>TFC000002771</v>
      </c>
      <c r="D4168" s="3" t="str">
        <f>"F900-20-3116-(AR 6.7)"</f>
        <v>F900-20-3116-(AR 6.7)</v>
      </c>
      <c r="E4168" s="3" t="str">
        <f>"(A)Grand Canyon : between River and Rim"</f>
        <v>(A)Grand Canyon : between River and Rim</v>
      </c>
      <c r="F4168" s="3" t="str">
        <f>"Pete McBride ; foreword by Hampton Sides ; introduction by Kevin Fedarko"</f>
        <v>Pete McBride ; foreword by Hampton Sides ; introduction by Kevin Fedarko</v>
      </c>
      <c r="G4168" s="3" t="str">
        <f>"Rizzoli International Publications"</f>
        <v>Rizzoli International Publications</v>
      </c>
      <c r="H4168" s="2" t="str">
        <f>"2018"</f>
        <v>2018</v>
      </c>
      <c r="I4168" s="3" t="str">
        <f>""</f>
        <v/>
      </c>
    </row>
    <row r="4169" spans="1:9" x14ac:dyDescent="0.3">
      <c r="A4169" s="2">
        <v>4168</v>
      </c>
      <c r="B4169" s="4" t="s">
        <v>68</v>
      </c>
      <c r="C4169" s="3" t="str">
        <f>"TFC000002772"</f>
        <v>TFC000002772</v>
      </c>
      <c r="D4169" s="3" t="str">
        <f>"F900-20-3117-(AR 6.7)"</f>
        <v>F900-20-3117-(AR 6.7)</v>
      </c>
      <c r="E4169" s="3" t="str">
        <f>"Who was Queen Victoria?"</f>
        <v>Who was Queen Victoria?</v>
      </c>
      <c r="F4169" s="3" t="str">
        <f>"by Jim Gigliotti ; illustrated by Max Hergenrother"</f>
        <v>by Jim Gigliotti ; illustrated by Max Hergenrother</v>
      </c>
      <c r="G4169" s="3" t="str">
        <f>"Penguin Workshop"</f>
        <v>Penguin Workshop</v>
      </c>
      <c r="H4169" s="2" t="str">
        <f>"2015"</f>
        <v>2015</v>
      </c>
      <c r="I4169" s="3" t="str">
        <f>""</f>
        <v/>
      </c>
    </row>
    <row r="4170" spans="1:9" x14ac:dyDescent="0.3">
      <c r="A4170" s="2">
        <v>4169</v>
      </c>
      <c r="B4170" s="4" t="s">
        <v>68</v>
      </c>
      <c r="C4170" s="3" t="str">
        <f>"TFC000003023"</f>
        <v>TFC000003023</v>
      </c>
      <c r="D4170" s="3" t="str">
        <f>"F900-20-3118-(AR 6.7)"</f>
        <v>F900-20-3118-(AR 6.7)</v>
      </c>
      <c r="E4170" s="3" t="str">
        <f>"Most dangerous : Daniel Ellsberg and the secret history of the Vietnam War"</f>
        <v>Most dangerous : Daniel Ellsberg and the secret history of the Vietnam War</v>
      </c>
      <c r="F4170" s="3" t="str">
        <f>"Steve Sheinkin"</f>
        <v>Steve Sheinkin</v>
      </c>
      <c r="G4170" s="3" t="str">
        <f>"Roaring Brook Press"</f>
        <v>Roaring Brook Press</v>
      </c>
      <c r="H4170" s="2" t="str">
        <f>"2015"</f>
        <v>2015</v>
      </c>
      <c r="I4170" s="3" t="str">
        <f>""</f>
        <v/>
      </c>
    </row>
    <row r="4171" spans="1:9" x14ac:dyDescent="0.3">
      <c r="A4171" s="2">
        <v>4170</v>
      </c>
      <c r="B4171" s="4" t="s">
        <v>68</v>
      </c>
      <c r="C4171" s="3" t="str">
        <f>"TFC000003457"</f>
        <v>TFC000003457</v>
      </c>
      <c r="D4171" s="3" t="str">
        <f>"F900-21-0924-(AR 6.7)"</f>
        <v>F900-21-0924-(AR 6.7)</v>
      </c>
      <c r="E4171" s="3" t="str">
        <f>"Out of darkness : the story of Louis Braille"</f>
        <v>Out of darkness : the story of Louis Braille</v>
      </c>
      <c r="F4171" s="3" t="str">
        <f>"by Russell Freedman ; illustrated by Kate Kiesler"</f>
        <v>by Russell Freedman ; illustrated by Kate Kiesler</v>
      </c>
      <c r="G4171" s="3" t="str">
        <f>"Houghton Mifflin"</f>
        <v>Houghton Mifflin</v>
      </c>
      <c r="H4171" s="2" t="str">
        <f>"2000"</f>
        <v>2000</v>
      </c>
      <c r="I4171" s="3" t="str">
        <f>""</f>
        <v/>
      </c>
    </row>
    <row r="4172" spans="1:9" x14ac:dyDescent="0.3">
      <c r="A4172" s="2">
        <v>4171</v>
      </c>
      <c r="B4172" s="4" t="s">
        <v>68</v>
      </c>
      <c r="C4172" s="3" t="str">
        <f>"TFC000004240"</f>
        <v>TFC000004240</v>
      </c>
      <c r="D4172" s="3" t="str">
        <f>"F800-22-0083-(AR 6.7)=2"</f>
        <v>F800-22-0083-(AR 6.7)=2</v>
      </c>
      <c r="E4172" s="3" t="str">
        <f>"Harry Potter and the chamber of secrets"</f>
        <v>Harry Potter and the chamber of secrets</v>
      </c>
      <c r="F4172" s="3" t="str">
        <f>"by J. K. Rowling, illustrations by Mary Grandpre"</f>
        <v>by J. K. Rowling, illustrations by Mary Grandpre</v>
      </c>
      <c r="G4172" s="3" t="str">
        <f>"Scholastic"</f>
        <v>Scholastic</v>
      </c>
      <c r="H4172" s="2" t="str">
        <f>"2000"</f>
        <v>2000</v>
      </c>
      <c r="I4172" s="3" t="str">
        <f>""</f>
        <v/>
      </c>
    </row>
    <row r="4173" spans="1:9" x14ac:dyDescent="0.3">
      <c r="A4173" s="2">
        <v>4172</v>
      </c>
      <c r="B4173" s="4" t="s">
        <v>68</v>
      </c>
      <c r="C4173" s="3" t="str">
        <f>"TFC000004241"</f>
        <v>TFC000004241</v>
      </c>
      <c r="D4173" s="3" t="str">
        <f>"F800-22-0082-(AR 6.7)"</f>
        <v>F800-22-0082-(AR 6.7)</v>
      </c>
      <c r="E4173" s="3" t="str">
        <f>"Harry Potter and the prisoner of azkaban"</f>
        <v>Harry Potter and the prisoner of azkaban</v>
      </c>
      <c r="F4173" s="3" t="str">
        <f>"by J. K. Rowling, illustration by Mary Grandpre"</f>
        <v>by J. K. Rowling, illustration by Mary Grandpre</v>
      </c>
      <c r="G4173" s="3" t="str">
        <f>"Scholastic"</f>
        <v>Scholastic</v>
      </c>
      <c r="H4173" s="2" t="str">
        <f>"1999"</f>
        <v>1999</v>
      </c>
      <c r="I4173" s="3" t="str">
        <f>""</f>
        <v/>
      </c>
    </row>
    <row r="4174" spans="1:9" x14ac:dyDescent="0.3">
      <c r="A4174" s="2">
        <v>4173</v>
      </c>
      <c r="B4174" s="4" t="s">
        <v>68</v>
      </c>
      <c r="C4174" s="3" t="str">
        <f>"TFC000004861"</f>
        <v>TFC000004861</v>
      </c>
      <c r="D4174" s="3" t="str">
        <f>"F800-22-0591-(AR 6.7)"</f>
        <v>F800-22-0591-(AR 6.7)</v>
      </c>
      <c r="E4174" s="3" t="str">
        <f>"Harry Potter and the chamber of secrets : MinaLima Edition"</f>
        <v>Harry Potter and the chamber of secrets : MinaLima Edition</v>
      </c>
      <c r="F4174" s="3" t="str">
        <f>"by J. K. Rowling, illustrated by Minalima Design"</f>
        <v>by J. K. Rowling, illustrated by Minalima Design</v>
      </c>
      <c r="G4174" s="3" t="str">
        <f>"Scholastic"</f>
        <v>Scholastic</v>
      </c>
      <c r="H4174" s="2" t="str">
        <f>"2021"</f>
        <v>2021</v>
      </c>
      <c r="I4174" s="3" t="str">
        <f>""</f>
        <v/>
      </c>
    </row>
    <row r="4175" spans="1:9" x14ac:dyDescent="0.3">
      <c r="A4175" s="2">
        <v>4174</v>
      </c>
      <c r="B4175" s="4" t="s">
        <v>69</v>
      </c>
      <c r="C4175" s="3" t="str">
        <f>"TFC000002773"</f>
        <v>TFC000002773</v>
      </c>
      <c r="D4175" s="3" t="str">
        <f>"F800-20-3119-(AR 6.8)"</f>
        <v>F800-20-3119-(AR 6.8)</v>
      </c>
      <c r="E4175" s="3" t="str">
        <f>"(The)twenty-one balloons"</f>
        <v>(The)twenty-one balloons</v>
      </c>
      <c r="F4175" s="3" t="str">
        <f>"written and illustrated by William Pene Du Bois"</f>
        <v>written and illustrated by William Pene Du Bois</v>
      </c>
      <c r="G4175" s="3" t="str">
        <f>"Puffin Books"</f>
        <v>Puffin Books</v>
      </c>
      <c r="H4175" s="2" t="str">
        <f>"1986"</f>
        <v>1986</v>
      </c>
      <c r="I4175" s="3" t="str">
        <f>""</f>
        <v/>
      </c>
    </row>
    <row r="4176" spans="1:9" x14ac:dyDescent="0.3">
      <c r="A4176" s="2">
        <v>4175</v>
      </c>
      <c r="B4176" s="4" t="s">
        <v>69</v>
      </c>
      <c r="C4176" s="3" t="str">
        <f>"TFC000002775"</f>
        <v>TFC000002775</v>
      </c>
      <c r="D4176" s="3" t="str">
        <f>"F800-20-3121-(AR 6.8)"</f>
        <v>F800-20-3121-(AR 6.8)</v>
      </c>
      <c r="E4176" s="3" t="str">
        <f>"B is for Badger : a Wisconsin alphabet"</f>
        <v>B is for Badger : a Wisconsin alphabet</v>
      </c>
      <c r="F4176" s="3" t="str">
        <f>"written by Kathy-Jo Wargin ; illustrated by Rene?e Graef"</f>
        <v>written by Kathy-Jo Wargin ; illustrated by Rene?e Graef</v>
      </c>
      <c r="G4176" s="3" t="str">
        <f>"Sleeping bear press"</f>
        <v>Sleeping bear press</v>
      </c>
      <c r="H4176" s="2" t="str">
        <f>"2004"</f>
        <v>2004</v>
      </c>
      <c r="I4176" s="3" t="str">
        <f>""</f>
        <v/>
      </c>
    </row>
    <row r="4177" spans="1:9" x14ac:dyDescent="0.3">
      <c r="A4177" s="2">
        <v>4176</v>
      </c>
      <c r="B4177" s="4" t="s">
        <v>69</v>
      </c>
      <c r="C4177" s="3" t="str">
        <f>"TFC000004242"</f>
        <v>TFC000004242</v>
      </c>
      <c r="D4177" s="3" t="str">
        <f>"F800-22-0084-(AR 6.8)=2"</f>
        <v>F800-22-0084-(AR 6.8)=2</v>
      </c>
      <c r="E4177" s="3" t="str">
        <f>"Harry Potter and the goblet of fire"</f>
        <v>Harry Potter and the goblet of fire</v>
      </c>
      <c r="F4177" s="3" t="str">
        <f>"by J. K. Rowling, illustrations by Mary GrandePre"</f>
        <v>by J. K. Rowling, illustrations by Mary GrandePre</v>
      </c>
      <c r="G4177" s="3" t="str">
        <f>"Scholastic"</f>
        <v>Scholastic</v>
      </c>
      <c r="H4177" s="2" t="str">
        <f>"2000"</f>
        <v>2000</v>
      </c>
      <c r="I4177" s="3" t="str">
        <f>""</f>
        <v/>
      </c>
    </row>
    <row r="4178" spans="1:9" x14ac:dyDescent="0.3">
      <c r="A4178" s="2">
        <v>4177</v>
      </c>
      <c r="B4178" s="4" t="s">
        <v>69</v>
      </c>
      <c r="C4178" s="3" t="str">
        <f>"TFC000004853"</f>
        <v>TFC000004853</v>
      </c>
      <c r="D4178" s="3" t="str">
        <f>"F800-22-0583-(AR6.8)"</f>
        <v>F800-22-0583-(AR6.8)</v>
      </c>
      <c r="E4178" s="3" t="str">
        <f>"(The)Ickabog"</f>
        <v>(The)Ickabog</v>
      </c>
      <c r="F4178" s="3" t="str">
        <f>"by J.K. Rowling, with illustrations by the winners of The Ickabog Illustration Competition"</f>
        <v>by J.K. Rowling, with illustrations by the winners of The Ickabog Illustration Competition</v>
      </c>
      <c r="G4178" s="3" t="str">
        <f>"Little Brown for Young Readers"</f>
        <v>Little Brown for Young Readers</v>
      </c>
      <c r="H4178" s="2" t="str">
        <f>"2020"</f>
        <v>2020</v>
      </c>
      <c r="I4178" s="3" t="str">
        <f>""</f>
        <v/>
      </c>
    </row>
    <row r="4179" spans="1:9" x14ac:dyDescent="0.3">
      <c r="A4179" s="2">
        <v>4178</v>
      </c>
      <c r="B4179" s="4" t="s">
        <v>69</v>
      </c>
      <c r="C4179" s="3" t="str">
        <f>"TFC000004594"</f>
        <v>TFC000004594</v>
      </c>
      <c r="D4179" s="3" t="str">
        <f>"F900-22-0403-(AR6.8)"</f>
        <v>F900-22-0403-(AR6.8)</v>
      </c>
      <c r="E4179" s="3" t="str">
        <f>"All About Winston Churchill"</f>
        <v>All About Winston Churchill</v>
      </c>
      <c r="F4179" s="3" t="str">
        <f>"by Cynthia A. Crane, illustrations by Bryan Janky, illustrations by Elizabeth Wells"</f>
        <v>by Cynthia A. Crane, illustrations by Bryan Janky, illustrations by Elizabeth Wells</v>
      </c>
      <c r="G4179" s="3" t="str">
        <f>"Blue River Press"</f>
        <v>Blue River Press</v>
      </c>
      <c r="H4179" s="2" t="str">
        <f>"2018"</f>
        <v>2018</v>
      </c>
      <c r="I4179" s="3" t="str">
        <f>""</f>
        <v/>
      </c>
    </row>
    <row r="4180" spans="1:9" x14ac:dyDescent="0.3">
      <c r="A4180" s="2">
        <v>4179</v>
      </c>
      <c r="B4180" s="4" t="s">
        <v>69</v>
      </c>
      <c r="C4180" s="3" t="str">
        <f>"TFC000004595"</f>
        <v>TFC000004595</v>
      </c>
      <c r="D4180" s="3" t="str">
        <f>"F400-22-0404-(AR6.8)"</f>
        <v>F400-22-0404-(AR6.8)</v>
      </c>
      <c r="E4180" s="3" t="str">
        <f>"(The)Deadliest Hurricanes Then and Now"</f>
        <v>(The)Deadliest Hurricanes Then and Now</v>
      </c>
      <c r="F4180" s="3" t="str">
        <f>"by Deborah Hopkinson"</f>
        <v>by Deborah Hopkinson</v>
      </c>
      <c r="G4180" s="3" t="str">
        <f>"Scholastic Focus"</f>
        <v>Scholastic Focus</v>
      </c>
      <c r="H4180" s="2" t="str">
        <f>"2022"</f>
        <v>2022</v>
      </c>
      <c r="I4180" s="3" t="str">
        <f>""</f>
        <v/>
      </c>
    </row>
    <row r="4181" spans="1:9" x14ac:dyDescent="0.3">
      <c r="A4181" s="2">
        <v>4180</v>
      </c>
      <c r="B4181" s="4" t="s">
        <v>70</v>
      </c>
      <c r="C4181" s="3" t="str">
        <f>"TFC000002777"</f>
        <v>TFC000002777</v>
      </c>
      <c r="D4181" s="3" t="str">
        <f>"F500-20-3123-(AR 6.9)"</f>
        <v>F500-20-3123-(AR 6.9)</v>
      </c>
      <c r="E4181" s="3" t="str">
        <f>"Bomb : the race to build and steal the world's most dangerous weapon"</f>
        <v>Bomb : the race to build and steal the world's most dangerous weapon</v>
      </c>
      <c r="F4181" s="3" t="str">
        <f>"Steve Sheinkin"</f>
        <v>Steve Sheinkin</v>
      </c>
      <c r="G4181" s="3" t="str">
        <f>"Roaring Brook Press"</f>
        <v>Roaring Brook Press</v>
      </c>
      <c r="H4181" s="2" t="str">
        <f>"2012"</f>
        <v>2012</v>
      </c>
      <c r="I4181" s="3" t="str">
        <f>""</f>
        <v/>
      </c>
    </row>
    <row r="4182" spans="1:9" x14ac:dyDescent="0.3">
      <c r="A4182" s="2">
        <v>4181</v>
      </c>
      <c r="B4182" s="4" t="s">
        <v>70</v>
      </c>
      <c r="C4182" s="3" t="str">
        <f>"TFC000002778"</f>
        <v>TFC000002778</v>
      </c>
      <c r="D4182" s="3" t="str">
        <f>"F800-20-3124-(AR 6.9)"</f>
        <v>F800-20-3124-(AR 6.9)</v>
      </c>
      <c r="E4182" s="3" t="str">
        <f>"Grand canyon"</f>
        <v>Grand canyon</v>
      </c>
      <c r="F4182" s="3" t="str">
        <f>"Jason Chin"</f>
        <v>Jason Chin</v>
      </c>
      <c r="G4182" s="3" t="str">
        <f>"Roaring Brook Press"</f>
        <v>Roaring Brook Press</v>
      </c>
      <c r="H4182" s="2" t="str">
        <f>"2017"</f>
        <v>2017</v>
      </c>
      <c r="I4182" s="3" t="str">
        <f>""</f>
        <v/>
      </c>
    </row>
    <row r="4183" spans="1:9" x14ac:dyDescent="0.3">
      <c r="A4183" s="2">
        <v>4182</v>
      </c>
      <c r="B4183" s="4" t="s">
        <v>70</v>
      </c>
      <c r="C4183" s="3" t="str">
        <f>"TFC000002783"</f>
        <v>TFC000002783</v>
      </c>
      <c r="D4183" s="3" t="str">
        <f>"F800-20-3129-(AR 6.9)"</f>
        <v>F800-20-3129-(AR 6.9)</v>
      </c>
      <c r="E4183" s="3" t="str">
        <f>"(The)hostile hospital"</f>
        <v>(The)hostile hospital</v>
      </c>
      <c r="F4183" s="3" t="str">
        <f>"by Lemony Snicket ; illustrations by Brett Helquist"</f>
        <v>by Lemony Snicket ; illustrations by Brett Helquist</v>
      </c>
      <c r="G4183" s="3" t="str">
        <f>"HarperCollins"</f>
        <v>HarperCollins</v>
      </c>
      <c r="H4183" s="2" t="str">
        <f>"2001"</f>
        <v>2001</v>
      </c>
      <c r="I4183" s="3" t="str">
        <f>""</f>
        <v/>
      </c>
    </row>
    <row r="4184" spans="1:9" x14ac:dyDescent="0.3">
      <c r="A4184" s="2">
        <v>4183</v>
      </c>
      <c r="B4184" s="4" t="s">
        <v>70</v>
      </c>
      <c r="C4184" s="3" t="str">
        <f>"TFC000002927"</f>
        <v>TFC000002927</v>
      </c>
      <c r="D4184" s="3" t="str">
        <f>"F900-20-3130-(AR 6.9)"</f>
        <v>F900-20-3130-(AR 6.9)</v>
      </c>
      <c r="E4184" s="3" t="str">
        <f>"African Americans in the thirteen colonies"</f>
        <v>African Americans in the thirteen colonies</v>
      </c>
      <c r="F4184" s="3" t="str">
        <f>"by Michael Burgan"</f>
        <v>by Michael Burgan</v>
      </c>
      <c r="G4184" s="3" t="str">
        <f>"Children's Press"</f>
        <v>Children's Press</v>
      </c>
      <c r="H4184" s="2" t="str">
        <f>"2013"</f>
        <v>2013</v>
      </c>
      <c r="I4184" s="3" t="str">
        <f>""</f>
        <v/>
      </c>
    </row>
    <row r="4185" spans="1:9" x14ac:dyDescent="0.3">
      <c r="A4185" s="2">
        <v>4184</v>
      </c>
      <c r="B4185" s="4" t="s">
        <v>70</v>
      </c>
      <c r="C4185" s="3" t="str">
        <f>"TFC000004245"</f>
        <v>TFC000004245</v>
      </c>
      <c r="D4185" s="3" t="str">
        <f>"F800-22-0085-(AR 6.9)=2"</f>
        <v>F800-22-0085-(AR 6.9)=2</v>
      </c>
      <c r="E4185" s="3" t="str">
        <f>"Harry Potter and the deathly Hallows"</f>
        <v>Harry Potter and the deathly Hallows</v>
      </c>
      <c r="F4185" s="3" t="str">
        <f>"by J. K. Rowling, illustrations by Mary Grandpre"</f>
        <v>by J. K. Rowling, illustrations by Mary Grandpre</v>
      </c>
      <c r="G4185" s="3" t="str">
        <f>"Scholastic"</f>
        <v>Scholastic</v>
      </c>
      <c r="H4185" s="2" t="str">
        <f>"2007"</f>
        <v>2007</v>
      </c>
      <c r="I4185" s="3" t="str">
        <f>""</f>
        <v/>
      </c>
    </row>
    <row r="4186" spans="1:9" x14ac:dyDescent="0.3">
      <c r="A4186" s="2">
        <v>4185</v>
      </c>
      <c r="B4186" s="4">
        <v>6.9</v>
      </c>
      <c r="C4186" s="3" t="str">
        <f>"TFC000002781"</f>
        <v>TFC000002781</v>
      </c>
      <c r="D4186" s="3" t="str">
        <f>"F800-20-3127-12(AR 6.9)"</f>
        <v>F800-20-3127-12(AR 6.9)</v>
      </c>
      <c r="E4186" s="3" t="str">
        <f>"How to train your dragon. 12, how to fight a dragon's fury"</f>
        <v>How to train your dragon. 12, how to fight a dragon's fury</v>
      </c>
      <c r="F4186" s="3" t="str">
        <f>"by Cressida Cowell"</f>
        <v>by Cressida Cowell</v>
      </c>
      <c r="G4186" s="3" t="str">
        <f>"Little Brown and Company"</f>
        <v>Little Brown and Company</v>
      </c>
      <c r="H4186" s="2" t="str">
        <f>"2016"</f>
        <v>2016</v>
      </c>
      <c r="I4186" s="3" t="str">
        <f>""</f>
        <v/>
      </c>
    </row>
    <row r="4187" spans="1:9" x14ac:dyDescent="0.3">
      <c r="A4187" s="2">
        <v>4186</v>
      </c>
      <c r="B4187" s="4">
        <v>6.9</v>
      </c>
      <c r="C4187" s="3" t="str">
        <f>"TFC000002780"</f>
        <v>TFC000002780</v>
      </c>
      <c r="D4187" s="3" t="str">
        <f>"F800-20-3126-7(AR 6.9)"</f>
        <v>F800-20-3126-7(AR 6.9)</v>
      </c>
      <c r="E4187" s="3" t="str">
        <f>"How to train your dragon. 7, how to ride a dragon's storm"</f>
        <v>How to train your dragon. 7, how to ride a dragon's storm</v>
      </c>
      <c r="F4187" s="3" t="str">
        <f>"by Cressida Cowell"</f>
        <v>by Cressida Cowell</v>
      </c>
      <c r="G4187" s="3" t="str">
        <f>"Little, Brown and company"</f>
        <v>Little, Brown and company</v>
      </c>
      <c r="H4187" s="2" t="str">
        <f>"2011"</f>
        <v>2011</v>
      </c>
      <c r="I4187" s="3" t="str">
        <f>""</f>
        <v/>
      </c>
    </row>
    <row r="4188" spans="1:9" x14ac:dyDescent="0.3">
      <c r="A4188" s="2">
        <v>4187</v>
      </c>
      <c r="B4188" s="4" t="s">
        <v>71</v>
      </c>
      <c r="C4188" s="3" t="str">
        <f>"TFC000002784"</f>
        <v>TFC000002784</v>
      </c>
      <c r="D4188" s="3" t="str">
        <f>"F800-20-3131-(AR 7.0)"</f>
        <v>F800-20-3131-(AR 7.0)</v>
      </c>
      <c r="E4188" s="3" t="str">
        <f>"(The)wonderful Wizard of Oz"</f>
        <v>(The)wonderful Wizard of Oz</v>
      </c>
      <c r="F4188" s="3" t="str">
        <f>"L. Frank Baum ; pictures by W.W. Denslow"</f>
        <v>L. Frank Baum ; pictures by W.W. Denslow</v>
      </c>
      <c r="G4188" s="3" t="str">
        <f>"HarperCollins"</f>
        <v>HarperCollins</v>
      </c>
      <c r="H4188" s="2" t="str">
        <f>"1987"</f>
        <v>1987</v>
      </c>
      <c r="I4188" s="3" t="str">
        <f>""</f>
        <v/>
      </c>
    </row>
    <row r="4189" spans="1:9" x14ac:dyDescent="0.3">
      <c r="A4189" s="2">
        <v>4188</v>
      </c>
      <c r="B4189" s="4" t="s">
        <v>71</v>
      </c>
      <c r="C4189" s="3" t="str">
        <f>"TFC000002785"</f>
        <v>TFC000002785</v>
      </c>
      <c r="D4189" s="3" t="str">
        <f>"F800-20-3132-(AR 7.0)"</f>
        <v>F800-20-3132-(AR 7.0)</v>
      </c>
      <c r="E4189" s="3" t="str">
        <f>"Tunnels : Highfield mole"</f>
        <v>Tunnels : Highfield mole</v>
      </c>
      <c r="F4189" s="3" t="str">
        <f>"by Roderick Gordon ; illustrated by Brian James Williams"</f>
        <v>by Roderick Gordon ; illustrated by Brian James Williams</v>
      </c>
      <c r="G4189" s="3" t="str">
        <f>"Chicken House"</f>
        <v>Chicken House</v>
      </c>
      <c r="H4189" s="2" t="str">
        <f>"2009"</f>
        <v>2009</v>
      </c>
      <c r="I4189" s="3" t="str">
        <f>""</f>
        <v/>
      </c>
    </row>
    <row r="4190" spans="1:9" x14ac:dyDescent="0.3">
      <c r="A4190" s="2">
        <v>4189</v>
      </c>
      <c r="B4190" s="4" t="s">
        <v>71</v>
      </c>
      <c r="C4190" s="3" t="str">
        <f>"TFC000002786"</f>
        <v>TFC000002786</v>
      </c>
      <c r="D4190" s="3" t="str">
        <f>"F800-20-3133-(AR 7.0)"</f>
        <v>F800-20-3133-(AR 7.0)</v>
      </c>
      <c r="E4190" s="3" t="str">
        <f>"(The)hero and the crown"</f>
        <v>(The)hero and the crown</v>
      </c>
      <c r="F4190" s="3" t="str">
        <f>"Robin McKinley"</f>
        <v>Robin McKinley</v>
      </c>
      <c r="G4190" s="3" t="str">
        <f>"Firebird"</f>
        <v>Firebird</v>
      </c>
      <c r="H4190" s="2" t="str">
        <f>"2002"</f>
        <v>2002</v>
      </c>
      <c r="I4190" s="3" t="str">
        <f>""</f>
        <v/>
      </c>
    </row>
    <row r="4191" spans="1:9" x14ac:dyDescent="0.3">
      <c r="A4191" s="2">
        <v>4190</v>
      </c>
      <c r="B4191" s="4" t="s">
        <v>71</v>
      </c>
      <c r="C4191" s="3" t="str">
        <f>"TFC000002787"</f>
        <v>TFC000002787</v>
      </c>
      <c r="D4191" s="3" t="str">
        <f>"F800-20-3134-(AR 7.0)"</f>
        <v>F800-20-3134-(AR 7.0)</v>
      </c>
      <c r="E4191" s="3" t="str">
        <f>"Eldest"</f>
        <v>Eldest</v>
      </c>
      <c r="F4191" s="3" t="str">
        <f>"Christopher Paolini"</f>
        <v>Christopher Paolini</v>
      </c>
      <c r="G4191" s="3" t="str">
        <f>"Alfred A. Knopf"</f>
        <v>Alfred A. Knopf</v>
      </c>
      <c r="H4191" s="2" t="str">
        <f>"2003"</f>
        <v>2003</v>
      </c>
      <c r="I4191" s="3" t="str">
        <f>""</f>
        <v/>
      </c>
    </row>
    <row r="4192" spans="1:9" x14ac:dyDescent="0.3">
      <c r="A4192" s="2">
        <v>4191</v>
      </c>
      <c r="B4192" s="4" t="s">
        <v>71</v>
      </c>
      <c r="C4192" s="3" t="str">
        <f>"TFC000002788"</f>
        <v>TFC000002788</v>
      </c>
      <c r="D4192" s="3" t="str">
        <f>"F800-20-3135-(AR 7.0)"</f>
        <v>F800-20-3135-(AR 7.0)</v>
      </c>
      <c r="E4192" s="3" t="str">
        <f>"Larklight"</f>
        <v>Larklight</v>
      </c>
      <c r="F4192" s="3" t="str">
        <f>"Philip Reeve ; illustrated by David Wyatt"</f>
        <v>Philip Reeve ; illustrated by David Wyatt</v>
      </c>
      <c r="G4192" s="3" t="str">
        <f>"Bloomsbury Children's Books"</f>
        <v>Bloomsbury Children's Books</v>
      </c>
      <c r="H4192" s="2" t="str">
        <f>"2019"</f>
        <v>2019</v>
      </c>
      <c r="I4192" s="3" t="str">
        <f>""</f>
        <v/>
      </c>
    </row>
    <row r="4193" spans="1:9" x14ac:dyDescent="0.3">
      <c r="A4193" s="2">
        <v>4192</v>
      </c>
      <c r="B4193" s="4" t="s">
        <v>71</v>
      </c>
      <c r="C4193" s="3" t="str">
        <f>"TFC000003560"</f>
        <v>TFC000003560</v>
      </c>
      <c r="D4193" s="3" t="str">
        <f>"F800-21-0926-(AR 7.0)"</f>
        <v>F800-21-0926-(AR 7.0)</v>
      </c>
      <c r="E4193" s="3" t="str">
        <f>"(The)Boggart fights back"</f>
        <v>(The)Boggart fights back</v>
      </c>
      <c r="F4193" s="3" t="str">
        <f>"by Susan Cooper"</f>
        <v>by Susan Cooper</v>
      </c>
      <c r="G4193" s="3" t="str">
        <f>"Margaret K. McElderry Books"</f>
        <v>Margaret K. McElderry Books</v>
      </c>
      <c r="H4193" s="2" t="str">
        <f>"2018"</f>
        <v>2018</v>
      </c>
      <c r="I4193" s="3" t="str">
        <f>""</f>
        <v/>
      </c>
    </row>
    <row r="4194" spans="1:9" x14ac:dyDescent="0.3">
      <c r="A4194" s="2">
        <v>4193</v>
      </c>
      <c r="B4194" s="4" t="s">
        <v>71</v>
      </c>
      <c r="C4194" s="3" t="str">
        <f>"TFC000004638"</f>
        <v>TFC000004638</v>
      </c>
      <c r="D4194" s="3" t="str">
        <f>"F100-22-0447-(AR7.0)"</f>
        <v>F100-22-0447-(AR7.0)</v>
      </c>
      <c r="E4194" s="3" t="str">
        <f>"Make your bed : little things that can change your life...and maybe the world"</f>
        <v>Make your bed : little things that can change your life...and maybe the world</v>
      </c>
      <c r="F4194" s="3" t="str">
        <f>"by William H. McRaven"</f>
        <v>by William H. McRaven</v>
      </c>
      <c r="G4194" s="3" t="str">
        <f>"Grand Central Publishing"</f>
        <v>Grand Central Publishing</v>
      </c>
      <c r="H4194" s="2" t="str">
        <f>"2017"</f>
        <v>2017</v>
      </c>
      <c r="I4194" s="3" t="str">
        <f>""</f>
        <v/>
      </c>
    </row>
    <row r="4195" spans="1:9" x14ac:dyDescent="0.3">
      <c r="A4195" s="2">
        <v>4194</v>
      </c>
      <c r="B4195" s="4" t="s">
        <v>72</v>
      </c>
      <c r="C4195" s="3" t="str">
        <f>"TFC000002789"</f>
        <v>TFC000002789</v>
      </c>
      <c r="D4195" s="3" t="str">
        <f>"F800-20-3136-(AR 7.1)"</f>
        <v>F800-20-3136-(AR 7.1)</v>
      </c>
      <c r="E4195" s="3" t="str">
        <f>"(The)slippery slope"</f>
        <v>(The)slippery slope</v>
      </c>
      <c r="F4195" s="3" t="str">
        <f>"by Lemony Snicket ; illustrations by Brett Helquist"</f>
        <v>by Lemony Snicket ; illustrations by Brett Helquist</v>
      </c>
      <c r="G4195" s="3" t="str">
        <f>"HarperCollins"</f>
        <v>HarperCollins</v>
      </c>
      <c r="H4195" s="2" t="str">
        <f>"2003"</f>
        <v>2003</v>
      </c>
      <c r="I4195" s="3" t="str">
        <f>""</f>
        <v/>
      </c>
    </row>
    <row r="4196" spans="1:9" x14ac:dyDescent="0.3">
      <c r="A4196" s="2">
        <v>4195</v>
      </c>
      <c r="B4196" s="4" t="s">
        <v>72</v>
      </c>
      <c r="C4196" s="3" t="str">
        <f>"TFC000004596"</f>
        <v>TFC000004596</v>
      </c>
      <c r="D4196" s="3" t="str">
        <f>"F600-22-0405-(AR7.1)"</f>
        <v>F600-22-0405-(AR7.1)</v>
      </c>
      <c r="E4196" s="3" t="str">
        <f>"Kobe Bryant : Legends in Sports"</f>
        <v>Kobe Bryant : Legends in Sports</v>
      </c>
      <c r="F4196" s="3" t="str">
        <f>"by Matt Christopher"</f>
        <v>by Matt Christopher</v>
      </c>
      <c r="G4196" s="3" t="str">
        <f>"Little, Brown Books for Young Readers"</f>
        <v>Little, Brown Books for Young Readers</v>
      </c>
      <c r="H4196" s="2" t="str">
        <f>"2021"</f>
        <v>2021</v>
      </c>
      <c r="I4196" s="3" t="str">
        <f>""</f>
        <v/>
      </c>
    </row>
    <row r="4197" spans="1:9" x14ac:dyDescent="0.3">
      <c r="A4197" s="2">
        <v>4196</v>
      </c>
      <c r="B4197" s="4" t="s">
        <v>73</v>
      </c>
      <c r="C4197" s="3" t="str">
        <f>"TFC000003073"</f>
        <v>TFC000003073</v>
      </c>
      <c r="D4197" s="3" t="str">
        <f>"F900-20-3139-(AR 7.2)"</f>
        <v>F900-20-3139-(AR 7.2)</v>
      </c>
      <c r="E4197" s="3" t="str">
        <f>"Let It shine : stories of Black women freedom fighters"</f>
        <v>Let It shine : stories of Black women freedom fighters</v>
      </c>
      <c r="F4197" s="3" t="str">
        <f>"Andrea Davis Pinkney ; illustrated by Stephen Alcorn"</f>
        <v>Andrea Davis Pinkney ; illustrated by Stephen Alcorn</v>
      </c>
      <c r="G4197" s="3" t="str">
        <f>"Sandpiper"</f>
        <v>Sandpiper</v>
      </c>
      <c r="H4197" s="2" t="str">
        <f>"2000"</f>
        <v>2000</v>
      </c>
      <c r="I4197" s="3" t="str">
        <f>""</f>
        <v/>
      </c>
    </row>
    <row r="4198" spans="1:9" x14ac:dyDescent="0.3">
      <c r="A4198" s="2">
        <v>4197</v>
      </c>
      <c r="B4198" s="4" t="s">
        <v>73</v>
      </c>
      <c r="C4198" s="3" t="str">
        <f>"TFC000004243"</f>
        <v>TFC000004243</v>
      </c>
      <c r="D4198" s="3" t="str">
        <f>"F800-22-0086-(AR 7.2)=2"</f>
        <v>F800-22-0086-(AR 7.2)=2</v>
      </c>
      <c r="E4198" s="3" t="str">
        <f>"Harry Potter and the order of the phoenix"</f>
        <v>Harry Potter and the order of the phoenix</v>
      </c>
      <c r="F4198" s="3" t="str">
        <f>"by J. K. Rowling, illustrations by Mary GrandePre"</f>
        <v>by J. K. Rowling, illustrations by Mary GrandePre</v>
      </c>
      <c r="G4198" s="3" t="str">
        <f>"Scholastic"</f>
        <v>Scholastic</v>
      </c>
      <c r="H4198" s="2" t="str">
        <f>"2003"</f>
        <v>2003</v>
      </c>
      <c r="I4198" s="3" t="str">
        <f>""</f>
        <v/>
      </c>
    </row>
    <row r="4199" spans="1:9" x14ac:dyDescent="0.3">
      <c r="A4199" s="2">
        <v>4198</v>
      </c>
      <c r="B4199" s="4" t="s">
        <v>73</v>
      </c>
      <c r="C4199" s="3" t="str">
        <f>"TFC000004244"</f>
        <v>TFC000004244</v>
      </c>
      <c r="D4199" s="3" t="str">
        <f>"F800-22-0087-(AR 7.2)=2"</f>
        <v>F800-22-0087-(AR 7.2)=2</v>
      </c>
      <c r="E4199" s="3" t="str">
        <f>"Harry Potter and the Half-Blood Prince"</f>
        <v>Harry Potter and the Half-Blood Prince</v>
      </c>
      <c r="F4199" s="3" t="str">
        <f>"by J. K. Rowling, illustrations by Mary Grandpre"</f>
        <v>by J. K. Rowling, illustrations by Mary Grandpre</v>
      </c>
      <c r="G4199" s="3" t="str">
        <f>"Scholastic"</f>
        <v>Scholastic</v>
      </c>
      <c r="H4199" s="2" t="str">
        <f>"2005"</f>
        <v>2005</v>
      </c>
      <c r="I4199" s="3" t="str">
        <f>""</f>
        <v/>
      </c>
    </row>
    <row r="4200" spans="1:9" x14ac:dyDescent="0.3">
      <c r="A4200" s="2">
        <v>4199</v>
      </c>
      <c r="B4200" s="4" t="s">
        <v>74</v>
      </c>
      <c r="C4200" s="3" t="str">
        <f>"TFC000002792"</f>
        <v>TFC000002792</v>
      </c>
      <c r="D4200" s="3" t="str">
        <f>"F800-20-3140-(AR 7.3)"</f>
        <v>F800-20-3140-(AR 7.3)</v>
      </c>
      <c r="E4200" s="3" t="str">
        <f>"(The)golden fleece : and the heroes who lived before achilles"</f>
        <v>(The)golden fleece : and the heroes who lived before achilles</v>
      </c>
      <c r="F4200" s="3" t="str">
        <f>"by Padraic Colum ; illustrations by Willy Pogany"</f>
        <v>by Padraic Colum ; illustrations by Willy Pogany</v>
      </c>
      <c r="G4200" s="3" t="str">
        <f>"Aladdin Paperbacks"</f>
        <v>Aladdin Paperbacks</v>
      </c>
      <c r="H4200" s="2" t="str">
        <f>"2004"</f>
        <v>2004</v>
      </c>
      <c r="I4200" s="3" t="str">
        <f>""</f>
        <v/>
      </c>
    </row>
    <row r="4201" spans="1:9" x14ac:dyDescent="0.3">
      <c r="A4201" s="2">
        <v>4200</v>
      </c>
      <c r="B4201" s="4" t="s">
        <v>74</v>
      </c>
      <c r="C4201" s="3" t="str">
        <f>"TFC000002793"</f>
        <v>TFC000002793</v>
      </c>
      <c r="D4201" s="3" t="str">
        <f>"F800-20-3141-(AR 7.3)"</f>
        <v>F800-20-3141-(AR 7.3)</v>
      </c>
      <c r="E4201" s="3" t="str">
        <f>"Anne of green gales"</f>
        <v>Anne of green gales</v>
      </c>
      <c r="F4201" s="3" t="str">
        <f>"L.M. Montgomery ; introduced by Budge Wilson"</f>
        <v>L.M. Montgomery ; introduced by Budge Wilson</v>
      </c>
      <c r="G4201" s="3" t="str">
        <f>"Puffin Books"</f>
        <v>Puffin Books</v>
      </c>
      <c r="H4201" s="2" t="str">
        <f>"2015"</f>
        <v>2015</v>
      </c>
      <c r="I4201" s="3" t="str">
        <f>""</f>
        <v/>
      </c>
    </row>
    <row r="4202" spans="1:9" x14ac:dyDescent="0.3">
      <c r="A4202" s="2">
        <v>4201</v>
      </c>
      <c r="B4202" s="4" t="s">
        <v>74</v>
      </c>
      <c r="C4202" s="3" t="str">
        <f>"TFC000002794"</f>
        <v>TFC000002794</v>
      </c>
      <c r="D4202" s="3" t="str">
        <f>"F800-20-3142-(AR 7.3)"</f>
        <v>F800-20-3142-(AR 7.3)</v>
      </c>
      <c r="E4202" s="3" t="str">
        <f>"Isaac Newton"</f>
        <v>Isaac Newton</v>
      </c>
      <c r="F4202" s="3" t="str">
        <f>"by Kathleen Krull ; illustrated by Boris Kulikov"</f>
        <v>by Kathleen Krull ; illustrated by Boris Kulikov</v>
      </c>
      <c r="G4202" s="3" t="str">
        <f>"Puffin Books"</f>
        <v>Puffin Books</v>
      </c>
      <c r="H4202" s="2" t="str">
        <f>"2006"</f>
        <v>2006</v>
      </c>
      <c r="I4202" s="3" t="str">
        <f>""</f>
        <v/>
      </c>
    </row>
    <row r="4203" spans="1:9" x14ac:dyDescent="0.3">
      <c r="A4203" s="2">
        <v>4202</v>
      </c>
      <c r="B4203" s="4" t="s">
        <v>74</v>
      </c>
      <c r="C4203" s="3" t="str">
        <f>"TFC000002795"</f>
        <v>TFC000002795</v>
      </c>
      <c r="D4203" s="3" t="str">
        <f>"F800-20-3143-(AR 7.3)"</f>
        <v>F800-20-3143-(AR 7.3)</v>
      </c>
      <c r="E4203" s="3" t="str">
        <f>"(The)end"</f>
        <v>(The)end</v>
      </c>
      <c r="F4203" s="3" t="str">
        <f>"by Lemony Snicket ; illustrations by Brett Helquist"</f>
        <v>by Lemony Snicket ; illustrations by Brett Helquist</v>
      </c>
      <c r="G4203" s="3" t="str">
        <f>"HarperCollins"</f>
        <v>HarperCollins</v>
      </c>
      <c r="H4203" s="2" t="str">
        <f>"2006"</f>
        <v>2006</v>
      </c>
      <c r="I4203" s="3" t="str">
        <f>""</f>
        <v/>
      </c>
    </row>
    <row r="4204" spans="1:9" x14ac:dyDescent="0.3">
      <c r="A4204" s="2">
        <v>4203</v>
      </c>
      <c r="B4204" s="4" t="s">
        <v>74</v>
      </c>
      <c r="C4204" s="3" t="str">
        <f>"TFC000004520"</f>
        <v>TFC000004520</v>
      </c>
      <c r="D4204" s="3" t="str">
        <f>"F300-22-0329-(AR7.3)"</f>
        <v>F300-22-0329-(AR7.3)</v>
      </c>
      <c r="E4204" s="3" t="str">
        <f>"In the Spirit of a Dream : 13 Stories of American Immigrants of Color"</f>
        <v>In the Spirit of a Dream : 13 Stories of American Immigrants of Color</v>
      </c>
      <c r="F4204" s="3" t="str">
        <f>"written by Aida Salazar"</f>
        <v>written by Aida Salazar</v>
      </c>
      <c r="G4204" s="3" t="str">
        <f>"Scholastic Press"</f>
        <v>Scholastic Press</v>
      </c>
      <c r="H4204" s="2" t="str">
        <f>"2021"</f>
        <v>2021</v>
      </c>
      <c r="I4204" s="3" t="str">
        <f>""</f>
        <v/>
      </c>
    </row>
    <row r="4205" spans="1:9" x14ac:dyDescent="0.3">
      <c r="A4205" s="2">
        <v>4204</v>
      </c>
      <c r="B4205" s="4" t="s">
        <v>74</v>
      </c>
      <c r="C4205" s="3" t="str">
        <f>"TFC000004597"</f>
        <v>TFC000004597</v>
      </c>
      <c r="D4205" s="3" t="str">
        <f>"F900-22-0406-(AR7.3)"</f>
        <v>F900-22-0406-(AR7.3)</v>
      </c>
      <c r="E4205" s="3" t="str">
        <f>"All About Sir Edmund Hillary"</f>
        <v>All About Sir Edmund Hillary</v>
      </c>
      <c r="F4205" s="3" t="str">
        <f>"by Lew Freedman, illustrations by Amber Calderon"</f>
        <v>by Lew Freedman, illustrations by Amber Calderon</v>
      </c>
      <c r="G4205" s="3" t="str">
        <f>"Blue River"</f>
        <v>Blue River</v>
      </c>
      <c r="H4205" s="2" t="str">
        <f>"2016"</f>
        <v>2016</v>
      </c>
      <c r="I4205" s="3" t="str">
        <f>""</f>
        <v/>
      </c>
    </row>
    <row r="4206" spans="1:9" x14ac:dyDescent="0.3">
      <c r="A4206" s="2">
        <v>4205</v>
      </c>
      <c r="B4206" s="4" t="s">
        <v>75</v>
      </c>
      <c r="C4206" s="3" t="str">
        <f>"TFC000002797"</f>
        <v>TFC000002797</v>
      </c>
      <c r="D4206" s="3" t="str">
        <f>"F500-20-3146-(AR 7.4)"</f>
        <v>F500-20-3146-(AR 7.4)</v>
      </c>
      <c r="E4206" s="3" t="str">
        <f>"(The)story of buildings : from the pyramids to the Sydney opera house and beyond"</f>
        <v>(The)story of buildings : from the pyramids to the Sydney opera house and beyond</v>
      </c>
      <c r="F4206" s="3" t="str">
        <f>"written by Patrick Dillon ; illustrated by Stephen Biesty"</f>
        <v>written by Patrick Dillon ; illustrated by Stephen Biesty</v>
      </c>
      <c r="G4206" s="3" t="str">
        <f>"Candlewick Books"</f>
        <v>Candlewick Books</v>
      </c>
      <c r="H4206" s="2" t="str">
        <f>"2014"</f>
        <v>2014</v>
      </c>
      <c r="I4206" s="3" t="str">
        <f>""</f>
        <v/>
      </c>
    </row>
    <row r="4207" spans="1:9" x14ac:dyDescent="0.3">
      <c r="A4207" s="2">
        <v>4206</v>
      </c>
      <c r="B4207" s="4" t="s">
        <v>75</v>
      </c>
      <c r="C4207" s="3" t="str">
        <f>"TFC000002798"</f>
        <v>TFC000002798</v>
      </c>
      <c r="D4207" s="3" t="str">
        <f>"F800-20-3147-(AR 7.4)"</f>
        <v>F800-20-3147-(AR 7.4)</v>
      </c>
      <c r="E4207" s="3" t="str">
        <f>"Alice's adventures in wonderland"</f>
        <v>Alice's adventures in wonderland</v>
      </c>
      <c r="F4207" s="3" t="str">
        <f>"Lewis Carroll ; introduced by Chris Riddell ; illustrations by John Tenniel"</f>
        <v>Lewis Carroll ; introduced by Chris Riddell ; illustrations by John Tenniel</v>
      </c>
      <c r="G4207" s="3" t="str">
        <f>"Puffin Books"</f>
        <v>Puffin Books</v>
      </c>
      <c r="H4207" s="2" t="str">
        <f>"2008"</f>
        <v>2008</v>
      </c>
      <c r="I4207" s="3" t="str">
        <f>""</f>
        <v/>
      </c>
    </row>
    <row r="4208" spans="1:9" x14ac:dyDescent="0.3">
      <c r="A4208" s="2">
        <v>4207</v>
      </c>
      <c r="B4208" s="4" t="s">
        <v>75</v>
      </c>
      <c r="C4208" s="3" t="str">
        <f>"TFC000002799"</f>
        <v>TFC000002799</v>
      </c>
      <c r="D4208" s="3" t="str">
        <f>"F800-20-3148-(AR 7.4)"</f>
        <v>F800-20-3148-(AR 7.4)</v>
      </c>
      <c r="E4208" s="3" t="str">
        <f>"(The)penultimate peril"</f>
        <v>(The)penultimate peril</v>
      </c>
      <c r="F4208" s="3" t="str">
        <f>"by Lemony Snicket ; illustrations by Brett Helquist"</f>
        <v>by Lemony Snicket ; illustrations by Brett Helquist</v>
      </c>
      <c r="G4208" s="3" t="str">
        <f>"HarperCollins"</f>
        <v>HarperCollins</v>
      </c>
      <c r="H4208" s="2" t="str">
        <f>"2005"</f>
        <v>2005</v>
      </c>
      <c r="I4208" s="3" t="str">
        <f>""</f>
        <v/>
      </c>
    </row>
    <row r="4209" spans="1:9" x14ac:dyDescent="0.3">
      <c r="A4209" s="2">
        <v>4208</v>
      </c>
      <c r="B4209" s="4" t="s">
        <v>75</v>
      </c>
      <c r="C4209" s="3" t="str">
        <f>"TFC000004869"</f>
        <v>TFC000004869</v>
      </c>
      <c r="D4209" s="3" t="str">
        <f>"F300-22-0599-(AR7.4)"</f>
        <v>F300-22-0599-(AR7.4)</v>
      </c>
      <c r="E4209" s="3" t="str">
        <f>"Stamped : Racism, Antiracism, and You"</f>
        <v>Stamped : Racism, Antiracism, and You</v>
      </c>
      <c r="F4209" s="3" t="str">
        <f>"written by Jason Reynolds, adapted from stamped form the beginning by Ibram X. Kendi"</f>
        <v>written by Jason Reynolds, adapted from stamped form the beginning by Ibram X. Kendi</v>
      </c>
      <c r="G4209" s="3" t="str">
        <f>"Little, Brown Books"</f>
        <v>Little, Brown Books</v>
      </c>
      <c r="H4209" s="2" t="str">
        <f>"2020"</f>
        <v>2020</v>
      </c>
      <c r="I4209" s="3" t="str">
        <f>""</f>
        <v/>
      </c>
    </row>
    <row r="4210" spans="1:9" x14ac:dyDescent="0.3">
      <c r="A4210" s="2">
        <v>4209</v>
      </c>
      <c r="B4210" s="4" t="s">
        <v>76</v>
      </c>
      <c r="C4210" s="3" t="str">
        <f>"TFC000002800"</f>
        <v>TFC000002800</v>
      </c>
      <c r="D4210" s="3" t="str">
        <f>"F900-20-3150-(AR 7.5)"</f>
        <v>F900-20-3150-(AR 7.5)</v>
      </c>
      <c r="E4210" s="3" t="str">
        <f>"Nelson Mandela : no easy walk to freedom : a biography"</f>
        <v>Nelson Mandela : no easy walk to freedom : a biography</v>
      </c>
      <c r="F4210" s="3" t="str">
        <f>"by Barry Denenberg"</f>
        <v>by Barry Denenberg</v>
      </c>
      <c r="G4210" s="3" t="str">
        <f>"Scholastic"</f>
        <v>Scholastic</v>
      </c>
      <c r="H4210" s="2" t="str">
        <f>"2005"</f>
        <v>2005</v>
      </c>
      <c r="I4210" s="3" t="str">
        <f>""</f>
        <v/>
      </c>
    </row>
    <row r="4211" spans="1:9" x14ac:dyDescent="0.3">
      <c r="A4211" s="2">
        <v>4210</v>
      </c>
      <c r="B4211" s="4" t="s">
        <v>77</v>
      </c>
      <c r="C4211" s="3" t="str">
        <f>"TFC000002803"</f>
        <v>TFC000002803</v>
      </c>
      <c r="D4211" s="3" t="str">
        <f>"F800-20-3153-(AR 7.7)"</f>
        <v>F800-20-3153-(AR 7.7)</v>
      </c>
      <c r="E4211" s="3" t="str">
        <f>"King Arthur and his knights of the round table"</f>
        <v>King Arthur and his knights of the round table</v>
      </c>
      <c r="F4211" s="3" t="str">
        <f>"Roger Lancelyn Green ; introduction by David Almond ; illustrated by Lotte Reiniger"</f>
        <v>Roger Lancelyn Green ; introduction by David Almond ; illustrated by Lotte Reiniger</v>
      </c>
      <c r="G4211" s="3" t="str">
        <f>"Puffin Books"</f>
        <v>Puffin Books</v>
      </c>
      <c r="H4211" s="2" t="str">
        <f>"2015"</f>
        <v>2015</v>
      </c>
      <c r="I4211" s="3" t="str">
        <f>""</f>
        <v/>
      </c>
    </row>
    <row r="4212" spans="1:9" x14ac:dyDescent="0.3">
      <c r="A4212" s="2">
        <v>4211</v>
      </c>
      <c r="B4212" s="4" t="s">
        <v>77</v>
      </c>
      <c r="C4212" s="3" t="str">
        <f>"TFC000002804"</f>
        <v>TFC000002804</v>
      </c>
      <c r="D4212" s="3" t="str">
        <f>"F800-20-3154-(AR 7.7)"</f>
        <v>F800-20-3154-(AR 7.7)</v>
      </c>
      <c r="E4212" s="3" t="str">
        <f>"D is for drinking gourd : an African American alphabet"</f>
        <v>D is for drinking gourd : an African American alphabet</v>
      </c>
      <c r="F4212" s="3" t="str">
        <f>"Nancy I. Sanders ; illustrated by E.B. Lewis"</f>
        <v>Nancy I. Sanders ; illustrated by E.B. Lewis</v>
      </c>
      <c r="G4212" s="3" t="str">
        <f>"Sleeping Bear Press"</f>
        <v>Sleeping Bear Press</v>
      </c>
      <c r="H4212" s="2" t="str">
        <f>"2007"</f>
        <v>2007</v>
      </c>
      <c r="I4212" s="3" t="str">
        <f>""</f>
        <v/>
      </c>
    </row>
    <row r="4213" spans="1:9" x14ac:dyDescent="0.3">
      <c r="A4213" s="2">
        <v>4212</v>
      </c>
      <c r="B4213" s="4" t="s">
        <v>77</v>
      </c>
      <c r="C4213" s="3" t="str">
        <f>"TFC000002806"</f>
        <v>TFC000002806</v>
      </c>
      <c r="D4213" s="3" t="str">
        <f>"F900-20-3157-(AR 7.7)"</f>
        <v>F900-20-3157-(AR 7.7)</v>
      </c>
      <c r="E4213" s="3" t="str">
        <f>"(The)girl who drew butterflies : how Maria Merian's art changed science"</f>
        <v>(The)girl who drew butterflies : how Maria Merian's art changed science</v>
      </c>
      <c r="F4213" s="3" t="str">
        <f>"written by Joyce Sidman"</f>
        <v>written by Joyce Sidman</v>
      </c>
      <c r="G4213" s="3" t="str">
        <f>"Houghton Mifflin Harcourt"</f>
        <v>Houghton Mifflin Harcourt</v>
      </c>
      <c r="H4213" s="2" t="str">
        <f>"2018"</f>
        <v>2018</v>
      </c>
      <c r="I4213" s="3" t="str">
        <f>""</f>
        <v/>
      </c>
    </row>
    <row r="4214" spans="1:9" x14ac:dyDescent="0.3">
      <c r="A4214" s="2">
        <v>4213</v>
      </c>
      <c r="B4214" s="4" t="s">
        <v>77</v>
      </c>
      <c r="C4214" s="3" t="str">
        <f>"TFC000002929"</f>
        <v>TFC000002929</v>
      </c>
      <c r="D4214" s="3" t="str">
        <f>"F800-20-3155-(AR 7.7)"</f>
        <v>F800-20-3155-(AR 7.7)</v>
      </c>
      <c r="E4214" s="3" t="str">
        <f>"Black beauty"</f>
        <v>Black beauty</v>
      </c>
      <c r="F4214" s="3" t="str">
        <f>"by Anna Sewell ; introduction by Gail Carson Levine"</f>
        <v>by Anna Sewell ; introduction by Gail Carson Levine</v>
      </c>
      <c r="G4214" s="3" t="str">
        <f>"Scholastic"</f>
        <v>Scholastic</v>
      </c>
      <c r="H4214" s="2" t="str">
        <f>"2001"</f>
        <v>2001</v>
      </c>
      <c r="I4214" s="3" t="str">
        <f>""</f>
        <v/>
      </c>
    </row>
    <row r="4215" spans="1:9" x14ac:dyDescent="0.3">
      <c r="A4215" s="2">
        <v>4214</v>
      </c>
      <c r="B4215" s="4" t="s">
        <v>84</v>
      </c>
      <c r="C4215" s="3" t="str">
        <f>"TFC000004598"</f>
        <v>TFC000004598</v>
      </c>
      <c r="D4215" s="3" t="str">
        <f>"F800-22-0407-(AR7.8)"</f>
        <v>F800-22-0407-(AR7.8)</v>
      </c>
      <c r="E4215" s="3" t="str">
        <f>"Jailbreak at Alcatraz : Frant Morris &amp; the Anglin Brothers' Great Escape"</f>
        <v>Jailbreak at Alcatraz : Frant Morris &amp; the Anglin Brothers' Great Escape</v>
      </c>
      <c r="F4215" s="3" t="str">
        <f>"by Tom Sullivan"</f>
        <v>by Tom Sullivan</v>
      </c>
      <c r="G4215" s="3" t="str">
        <f>"Balzer &amp; Bray"</f>
        <v>Balzer &amp; Bray</v>
      </c>
      <c r="H4215" s="2" t="str">
        <f>"2021"</f>
        <v>2021</v>
      </c>
      <c r="I4215" s="3" t="str">
        <f>""</f>
        <v/>
      </c>
    </row>
    <row r="4216" spans="1:9" x14ac:dyDescent="0.3">
      <c r="A4216" s="2">
        <v>4215</v>
      </c>
      <c r="B4216" s="4" t="s">
        <v>78</v>
      </c>
      <c r="C4216" s="3" t="str">
        <f>"TFC000002808"</f>
        <v>TFC000002808</v>
      </c>
      <c r="D4216" s="3" t="str">
        <f>"F800-20-3159-(AR 7.9)"</f>
        <v>F800-20-3159-(AR 7.9)</v>
      </c>
      <c r="E4216" s="3" t="str">
        <f>"Little women"</f>
        <v>Little women</v>
      </c>
      <c r="F4216" s="3" t="str">
        <f>"Louisa May Alcott"</f>
        <v>Louisa May Alcott</v>
      </c>
      <c r="G4216" s="3" t="str">
        <f>"Random House"</f>
        <v>Random House</v>
      </c>
      <c r="H4216" s="2" t="str">
        <f>"2000"</f>
        <v>2000</v>
      </c>
      <c r="I4216" s="3" t="str">
        <f>""</f>
        <v/>
      </c>
    </row>
    <row r="4217" spans="1:9" x14ac:dyDescent="0.3">
      <c r="A4217" s="2">
        <v>4216</v>
      </c>
      <c r="B4217" s="4" t="s">
        <v>78</v>
      </c>
      <c r="C4217" s="3" t="str">
        <f>"TFC000003104"</f>
        <v>TFC000003104</v>
      </c>
      <c r="D4217" s="3" t="str">
        <f>"F900-20-3160-(AR 7.9)"</f>
        <v>F900-20-3160-(AR 7.9)</v>
      </c>
      <c r="E4217" s="3" t="str">
        <f>"Never Caught, the story of Ona Judge : George and Martha Washington's courageous slave who dared to run away"</f>
        <v>Never Caught, the story of Ona Judge : George and Martha Washington's courageous slave who dared to run away</v>
      </c>
      <c r="F4217" s="3" t="str">
        <f>"by Erica Armstrong Dunbar, Kathleen Van Cleve"</f>
        <v>by Erica Armstrong Dunbar, Kathleen Van Cleve</v>
      </c>
      <c r="G4217" s="3" t="str">
        <f>"Aladdin"</f>
        <v>Aladdin</v>
      </c>
      <c r="H4217" s="2" t="str">
        <f>"2019, c2017"</f>
        <v>2019, c2017</v>
      </c>
      <c r="I4217" s="3" t="str">
        <f>""</f>
        <v/>
      </c>
    </row>
    <row r="4218" spans="1:9" x14ac:dyDescent="0.3">
      <c r="A4218" s="2">
        <v>4217</v>
      </c>
      <c r="B4218" s="4" t="s">
        <v>79</v>
      </c>
      <c r="C4218" s="3" t="str">
        <f>"TFC000002809"</f>
        <v>TFC000002809</v>
      </c>
      <c r="D4218" s="3" t="str">
        <f>"F300-20-3161-(AR 8.0)"</f>
        <v>F300-20-3161-(AR 8.0)</v>
      </c>
      <c r="E4218" s="3" t="str">
        <f>"Malcolm X : by any means necessary"</f>
        <v>Malcolm X : by any means necessary</v>
      </c>
      <c r="F4218" s="3" t="str">
        <f>"a biography by Walter Dean Myers"</f>
        <v>a biography by Walter Dean Myers</v>
      </c>
      <c r="G4218" s="3" t="str">
        <f>"Scholastic Focus"</f>
        <v>Scholastic Focus</v>
      </c>
      <c r="H4218" s="2" t="str">
        <f>"2020"</f>
        <v>2020</v>
      </c>
      <c r="I4218" s="3" t="str">
        <f>""</f>
        <v/>
      </c>
    </row>
    <row r="4219" spans="1:9" x14ac:dyDescent="0.3">
      <c r="A4219" s="2">
        <v>4218</v>
      </c>
      <c r="B4219" s="4" t="s">
        <v>79</v>
      </c>
      <c r="C4219" s="3" t="str">
        <f>"TFC000002810"</f>
        <v>TFC000002810</v>
      </c>
      <c r="D4219" s="3" t="str">
        <f>"F800-20-3162-(AR 8.0)"</f>
        <v>F800-20-3162-(AR 8.0)</v>
      </c>
      <c r="E4219" s="3" t="str">
        <f>"(The)red-headed league"</f>
        <v>(The)red-headed league</v>
      </c>
      <c r="F4219" s="3" t="str">
        <f>"Sir Arthur Conan Doyle ; illustrations by Arianna Bellucci ; adapted by Stephanie Baudet"</f>
        <v>Sir Arthur Conan Doyle ; illustrations by Arianna Bellucci ; adapted by Stephanie Baudet</v>
      </c>
      <c r="G4219" s="3" t="str">
        <f>"Sweet Cherry Publishing"</f>
        <v>Sweet Cherry Publishing</v>
      </c>
      <c r="H4219" s="2" t="str">
        <f>"2019"</f>
        <v>2019</v>
      </c>
      <c r="I4219" s="3" t="str">
        <f>""</f>
        <v/>
      </c>
    </row>
    <row r="4220" spans="1:9" x14ac:dyDescent="0.3">
      <c r="A4220" s="2">
        <v>4219</v>
      </c>
      <c r="B4220" s="4" t="s">
        <v>79</v>
      </c>
      <c r="C4220" s="3" t="str">
        <f>"TFC000002811"</f>
        <v>TFC000002811</v>
      </c>
      <c r="D4220" s="3" t="str">
        <f>"F800-20-3163-(AR 8.0)"</f>
        <v>F800-20-3163-(AR 8.0)</v>
      </c>
      <c r="E4220" s="3" t="str">
        <f>"(The)Call of the wild"</f>
        <v>(The)Call of the wild</v>
      </c>
      <c r="F4220" s="3" t="str">
        <f>"by Jack London"</f>
        <v>by Jack London</v>
      </c>
      <c r="G4220" s="3" t="str">
        <f>"Scholastic"</f>
        <v>Scholastic</v>
      </c>
      <c r="H4220" s="2" t="str">
        <f>"2012"</f>
        <v>2012</v>
      </c>
      <c r="I4220" s="3" t="str">
        <f>""</f>
        <v/>
      </c>
    </row>
    <row r="4221" spans="1:9" x14ac:dyDescent="0.3">
      <c r="A4221" s="2">
        <v>4220</v>
      </c>
      <c r="B4221" s="4" t="s">
        <v>80</v>
      </c>
      <c r="C4221" s="3" t="str">
        <f>"TFC000002812"</f>
        <v>TFC000002812</v>
      </c>
      <c r="D4221" s="3" t="str">
        <f>"F800-20-3165-(AR 8.1)"</f>
        <v>F800-20-3165-(AR 8.1)</v>
      </c>
      <c r="E4221" s="3" t="str">
        <f>"(The)adventures of Tom Sawyer"</f>
        <v>(The)adventures of Tom Sawyer</v>
      </c>
      <c r="F4221" s="3" t="str">
        <f>"Mark Twain ; with an introduction by Robert S. Tilton ; and a new afterword by Geoffrey Sanborn"</f>
        <v>Mark Twain ; with an introduction by Robert S. Tilton ; and a new afterword by Geoffrey Sanborn</v>
      </c>
      <c r="G4221" s="3" t="str">
        <f>"Signet Classic"</f>
        <v>Signet Classic</v>
      </c>
      <c r="H4221" s="2" t="str">
        <f>"2008"</f>
        <v>2008</v>
      </c>
      <c r="I4221" s="3" t="str">
        <f>""</f>
        <v/>
      </c>
    </row>
    <row r="4222" spans="1:9" x14ac:dyDescent="0.3">
      <c r="A4222" s="2">
        <v>4221</v>
      </c>
      <c r="B4222" s="4" t="s">
        <v>80</v>
      </c>
      <c r="C4222" s="3" t="str">
        <f>"TFC000004607"</f>
        <v>TFC000004607</v>
      </c>
      <c r="D4222" s="3" t="str">
        <f>"F900-22-0416-(AR8.1)"</f>
        <v>F900-22-0416-(AR8.1)</v>
      </c>
      <c r="E4222" s="3" t="str">
        <f>"Ensnared in the Wolf's Lair"</f>
        <v>Ensnared in the Wolf's Lair</v>
      </c>
      <c r="F4222" s="3" t="str">
        <f>"by Ann Bausum"</f>
        <v>by Ann Bausum</v>
      </c>
      <c r="G4222" s="3" t="str">
        <f>"National Geographic Kids"</f>
        <v>National Geographic Kids</v>
      </c>
      <c r="H4222" s="2" t="str">
        <f>"2021"</f>
        <v>2021</v>
      </c>
      <c r="I4222" s="3" t="str">
        <f>""</f>
        <v/>
      </c>
    </row>
    <row r="4223" spans="1:9" x14ac:dyDescent="0.3">
      <c r="A4223" s="2">
        <v>4222</v>
      </c>
      <c r="B4223" s="4" t="s">
        <v>81</v>
      </c>
      <c r="C4223" s="3" t="str">
        <f>"TFC000002813"</f>
        <v>TFC000002813</v>
      </c>
      <c r="D4223" s="3" t="str">
        <f>"F4010-20-3166-(AR 8.2)"</f>
        <v>F4010-20-3166-(AR 8.2)</v>
      </c>
      <c r="E4223" s="3" t="str">
        <f>"Hidden figures : the untold true story of four African-American women who helped launch our nation into space"</f>
        <v>Hidden figures : the untold true story of four African-American women who helped launch our nation into space</v>
      </c>
      <c r="F4223" s="3" t="str">
        <f>"Margot Lee Shetterly"</f>
        <v>Margot Lee Shetterly</v>
      </c>
      <c r="G4223" s="3" t="str">
        <f>"Harper"</f>
        <v>Harper</v>
      </c>
      <c r="H4223" s="2" t="str">
        <f>"2017"</f>
        <v>2017</v>
      </c>
      <c r="I4223" s="3" t="str">
        <f>""</f>
        <v/>
      </c>
    </row>
    <row r="4224" spans="1:9" x14ac:dyDescent="0.3">
      <c r="A4224" s="2">
        <v>4223</v>
      </c>
      <c r="B4224" s="4" t="s">
        <v>81</v>
      </c>
      <c r="C4224" s="3" t="str">
        <f>"TFC000003160"</f>
        <v>TFC000003160</v>
      </c>
      <c r="D4224" s="3" t="str">
        <f>"F800-20-3168-(AR 8.2)"</f>
        <v>F800-20-3168-(AR 8.2)</v>
      </c>
      <c r="E4224" s="3" t="str">
        <f>"Heidi"</f>
        <v>Heidi</v>
      </c>
      <c r="F4224" s="3" t="str">
        <f>"Johanna Spyri ; introduction by Eva Ibbotson ; translated by Eileen Hall ; illustrations by Cecil Leslie"</f>
        <v>Johanna Spyri ; introduction by Eva Ibbotson ; translated by Eileen Hall ; illustrations by Cecil Leslie</v>
      </c>
      <c r="G4224" s="3" t="str">
        <f>"Puffin Books"</f>
        <v>Puffin Books</v>
      </c>
      <c r="H4224" s="2" t="str">
        <f>"2009"</f>
        <v>2009</v>
      </c>
      <c r="I4224" s="3" t="str">
        <f>""</f>
        <v/>
      </c>
    </row>
    <row r="4225" spans="1:9" x14ac:dyDescent="0.3">
      <c r="A4225" s="2">
        <v>4224</v>
      </c>
      <c r="B4225" s="4" t="s">
        <v>82</v>
      </c>
      <c r="C4225" s="3" t="str">
        <f>"TFC000002817"</f>
        <v>TFC000002817</v>
      </c>
      <c r="D4225" s="3" t="str">
        <f>"F800-20-3171-(AR 8.7)"</f>
        <v>F800-20-3171-(AR 8.7)</v>
      </c>
      <c r="E4225" s="3" t="str">
        <f>"Crime and punishment"</f>
        <v>Crime and punishment</v>
      </c>
      <c r="F4225" s="3" t="str">
        <f>"Fyodor Dostoyevsky ; translated by Sidney Monas ; with an introduction by Leonard J. Stanton, James D. Hardy,  Jr. ; and a new afterword by Robin Feuer Miller"</f>
        <v>Fyodor Dostoyevsky ; translated by Sidney Monas ; with an introduction by Leonard J. Stanton, James D. Hardy,  Jr. ; and a new afterword by Robin Feuer Miller</v>
      </c>
      <c r="G4225" s="3" t="str">
        <f>"Signet Classics"</f>
        <v>Signet Classics</v>
      </c>
      <c r="H4225" s="2" t="str">
        <f>"2006"</f>
        <v>2006</v>
      </c>
      <c r="I4225" s="3" t="str">
        <f>""</f>
        <v/>
      </c>
    </row>
    <row r="4226" spans="1:9" x14ac:dyDescent="0.3">
      <c r="A4226" s="2">
        <v>4225</v>
      </c>
      <c r="B4226" s="4" t="s">
        <v>83</v>
      </c>
      <c r="C4226" s="3" t="str">
        <f>"TFC000002931"</f>
        <v>TFC000002931</v>
      </c>
      <c r="D4226" s="3" t="str">
        <f>"F800-20-3173-(AR 8.9)"</f>
        <v>F800-20-3173-(AR 8.9)</v>
      </c>
      <c r="E4226" s="3" t="str">
        <f>"1984 : a novel"</f>
        <v>1984 : a novel</v>
      </c>
      <c r="F4226" s="3" t="str">
        <f>"by George Orwell ; aferword by Erich Fromm"</f>
        <v>by George Orwell ; aferword by Erich Fromm</v>
      </c>
      <c r="G4226" s="3" t="str">
        <f>"Signet Classics"</f>
        <v>Signet Classics</v>
      </c>
      <c r="H4226" s="2" t="str">
        <f>"1977"</f>
        <v>1977</v>
      </c>
      <c r="I4226" s="3" t="str">
        <f>""</f>
        <v/>
      </c>
    </row>
    <row r="4227" spans="1:9" x14ac:dyDescent="0.3">
      <c r="A4227" s="2">
        <v>4226</v>
      </c>
      <c r="B4227" s="4" t="s">
        <v>3</v>
      </c>
      <c r="C4227" s="3" t="str">
        <f>"TFC000001113"</f>
        <v>TFC000001113</v>
      </c>
      <c r="D4227" s="3" t="str">
        <f>"F800-20-1244-1"</f>
        <v>F800-20-1244-1</v>
      </c>
      <c r="E4227" s="3" t="str">
        <f>"Arthur's honey bear"</f>
        <v>Arthur's honey bear</v>
      </c>
      <c r="F4227" s="3" t="str">
        <f>"story and pictures by Lillian Hoban"</f>
        <v>story and pictures by Lillian Hoban</v>
      </c>
      <c r="G4227" s="3" t="str">
        <f>"HarperTrophy"</f>
        <v>HarperTrophy</v>
      </c>
      <c r="H4227" s="2" t="str">
        <f>"1982"</f>
        <v>1982</v>
      </c>
      <c r="I4227" s="3" t="str">
        <f>""</f>
        <v/>
      </c>
    </row>
    <row r="4228" spans="1:9" x14ac:dyDescent="0.3">
      <c r="A4228" s="2">
        <v>4227</v>
      </c>
      <c r="B4228" s="4" t="s">
        <v>3</v>
      </c>
      <c r="C4228" s="3" t="str">
        <f>"TFC000004737"</f>
        <v>TFC000004737</v>
      </c>
      <c r="D4228" s="3" t="str">
        <f>"F800-22-0525-1"</f>
        <v>F800-22-0525-1</v>
      </c>
      <c r="E4228" s="3" t="str">
        <f>"Grandpa Pig's Little Train"</f>
        <v>Grandpa Pig's Little Train</v>
      </c>
      <c r="F4228" s="3" t="str">
        <f>"by Ladybird"</f>
        <v>by Ladybird</v>
      </c>
      <c r="G4228" s="3" t="str">
        <f>"Ladybird"</f>
        <v>Ladybird</v>
      </c>
      <c r="H4228" s="2" t="str">
        <f>"2020"</f>
        <v>2020</v>
      </c>
      <c r="I4228" s="3" t="str">
        <f>""</f>
        <v/>
      </c>
    </row>
    <row r="4229" spans="1:9" x14ac:dyDescent="0.3">
      <c r="A4229" s="2">
        <v>4228</v>
      </c>
      <c r="B4229" s="4" t="s">
        <v>3</v>
      </c>
      <c r="C4229" s="3" t="str">
        <f>"TFC000004828"</f>
        <v>TFC000004828</v>
      </c>
      <c r="D4229" s="3" t="str">
        <f>"F300-22-0565-1"</f>
        <v>F300-22-0565-1</v>
      </c>
      <c r="E4229" s="3" t="str">
        <f>"a b c"</f>
        <v>a b c</v>
      </c>
      <c r="F4229" s="3" t="str">
        <f>"[by Ladybird Books]"</f>
        <v>[by Ladybird Books]</v>
      </c>
      <c r="G4229" s="3" t="str">
        <f>"Ladybird Books"</f>
        <v>Ladybird Books</v>
      </c>
      <c r="H4229" s="2" t="str">
        <f>"2020"</f>
        <v>2020</v>
      </c>
      <c r="I4229" s="3" t="str">
        <f>""</f>
        <v/>
      </c>
    </row>
    <row r="4230" spans="1:9" x14ac:dyDescent="0.3">
      <c r="A4230" s="2">
        <v>4229</v>
      </c>
      <c r="B4230" s="4" t="s">
        <v>3</v>
      </c>
      <c r="C4230" s="3" t="str">
        <f>"TFC000004829"</f>
        <v>TFC000004829</v>
      </c>
      <c r="D4230" s="3" t="str">
        <f>"F300-22-0565-2"</f>
        <v>F300-22-0565-2</v>
      </c>
      <c r="E4230" s="3" t="str">
        <f>"d e f"</f>
        <v>d e f</v>
      </c>
      <c r="F4230" s="3" t="str">
        <f>"[by Ladybird Books]"</f>
        <v>[by Ladybird Books]</v>
      </c>
      <c r="G4230" s="3" t="str">
        <f>"Ladybird Books"</f>
        <v>Ladybird Books</v>
      </c>
      <c r="H4230" s="2" t="str">
        <f>"2020"</f>
        <v>2020</v>
      </c>
      <c r="I4230" s="3" t="str">
        <f>""</f>
        <v/>
      </c>
    </row>
    <row r="4231" spans="1:9" x14ac:dyDescent="0.3">
      <c r="A4231" s="2">
        <v>4230</v>
      </c>
      <c r="B4231" s="4" t="s">
        <v>3</v>
      </c>
      <c r="C4231" s="3" t="str">
        <f>"TFC000004738"</f>
        <v>TFC000004738</v>
      </c>
      <c r="D4231" s="3" t="str">
        <f>"F800-22-0525-2"</f>
        <v>F800-22-0525-2</v>
      </c>
      <c r="E4231" s="3" t="str">
        <f>"Babysitting"</f>
        <v>Babysitting</v>
      </c>
      <c r="F4231" s="3" t="str">
        <f>"by Ladybird"</f>
        <v>by Ladybird</v>
      </c>
      <c r="G4231" s="3" t="str">
        <f>"Ladybird"</f>
        <v>Ladybird</v>
      </c>
      <c r="H4231" s="2" t="str">
        <f>"2020"</f>
        <v>2020</v>
      </c>
      <c r="I4231" s="3" t="str">
        <f>""</f>
        <v/>
      </c>
    </row>
    <row r="4232" spans="1:9" x14ac:dyDescent="0.3">
      <c r="A4232" s="2">
        <v>4231</v>
      </c>
      <c r="B4232" s="4" t="s">
        <v>3</v>
      </c>
      <c r="C4232" s="3" t="str">
        <f>"TFC000004739"</f>
        <v>TFC000004739</v>
      </c>
      <c r="D4232" s="3" t="str">
        <f>"F800-22-0525-3"</f>
        <v>F800-22-0525-3</v>
      </c>
      <c r="E4232" s="3" t="str">
        <f>"Grampy Rabbit's Boatyard"</f>
        <v>Grampy Rabbit's Boatyard</v>
      </c>
      <c r="F4232" s="3" t="str">
        <f>"by Ladybird"</f>
        <v>by Ladybird</v>
      </c>
      <c r="G4232" s="3" t="str">
        <f>"Ladybird"</f>
        <v>Ladybird</v>
      </c>
      <c r="H4232" s="2" t="str">
        <f>"2020"</f>
        <v>2020</v>
      </c>
      <c r="I4232" s="3" t="str">
        <f>""</f>
        <v/>
      </c>
    </row>
    <row r="4233" spans="1:9" x14ac:dyDescent="0.3">
      <c r="A4233" s="2">
        <v>4232</v>
      </c>
      <c r="B4233" s="4" t="s">
        <v>3</v>
      </c>
      <c r="C4233" s="3" t="str">
        <f>"TFC000004830"</f>
        <v>TFC000004830</v>
      </c>
      <c r="D4233" s="3" t="str">
        <f>"F300-22-0565-3"</f>
        <v>F300-22-0565-3</v>
      </c>
      <c r="E4233" s="3" t="str">
        <f>"g h i"</f>
        <v>g h i</v>
      </c>
      <c r="F4233" s="3" t="str">
        <f>"[by Ladybird Books]"</f>
        <v>[by Ladybird Books]</v>
      </c>
      <c r="G4233" s="3" t="str">
        <f>"Ladybird Books"</f>
        <v>Ladybird Books</v>
      </c>
      <c r="H4233" s="2" t="str">
        <f>"2020"</f>
        <v>2020</v>
      </c>
      <c r="I4233" s="3" t="str">
        <f>""</f>
        <v/>
      </c>
    </row>
    <row r="4234" spans="1:9" x14ac:dyDescent="0.3">
      <c r="A4234" s="2">
        <v>4233</v>
      </c>
      <c r="B4234" s="4" t="s">
        <v>3</v>
      </c>
      <c r="C4234" s="3" t="str">
        <f>"TFC000004740"</f>
        <v>TFC000004740</v>
      </c>
      <c r="D4234" s="3" t="str">
        <f>"F800-22-0525-4"</f>
        <v>F800-22-0525-4</v>
      </c>
      <c r="E4234" s="3" t="str">
        <f>"Bubbles"</f>
        <v>Bubbles</v>
      </c>
      <c r="F4234" s="3" t="str">
        <f>"by Ladybird"</f>
        <v>by Ladybird</v>
      </c>
      <c r="G4234" s="3" t="str">
        <f>"Ladybird"</f>
        <v>Ladybird</v>
      </c>
      <c r="H4234" s="2" t="str">
        <f>"2020"</f>
        <v>2020</v>
      </c>
      <c r="I4234" s="3" t="str">
        <f>""</f>
        <v/>
      </c>
    </row>
    <row r="4235" spans="1:9" x14ac:dyDescent="0.3">
      <c r="A4235" s="2">
        <v>4234</v>
      </c>
      <c r="B4235" s="4" t="s">
        <v>3</v>
      </c>
      <c r="C4235" s="3" t="str">
        <f>"TFC000004831"</f>
        <v>TFC000004831</v>
      </c>
      <c r="D4235" s="3" t="str">
        <f>"F300-22-0565-4"</f>
        <v>F300-22-0565-4</v>
      </c>
      <c r="E4235" s="3" t="str">
        <f>"j k l"</f>
        <v>j k l</v>
      </c>
      <c r="F4235" s="3" t="str">
        <f>"[by Ladybird Books]"</f>
        <v>[by Ladybird Books]</v>
      </c>
      <c r="G4235" s="3" t="str">
        <f>"Ladybird Books"</f>
        <v>Ladybird Books</v>
      </c>
      <c r="H4235" s="2" t="str">
        <f>"2020"</f>
        <v>2020</v>
      </c>
      <c r="I4235" s="3" t="str">
        <f>""</f>
        <v/>
      </c>
    </row>
    <row r="4236" spans="1:9" x14ac:dyDescent="0.3">
      <c r="A4236" s="2">
        <v>4235</v>
      </c>
      <c r="B4236" s="4" t="s">
        <v>3</v>
      </c>
      <c r="C4236" s="3" t="str">
        <f>"TFC000003115"</f>
        <v>TFC000003115</v>
      </c>
      <c r="D4236" s="3" t="str">
        <f>"F900-20-3175-5"</f>
        <v>F900-20-3175-5</v>
      </c>
      <c r="E4236" s="3" t="str">
        <f>"Josephine Baker"</f>
        <v>Josephine Baker</v>
      </c>
      <c r="F4236" s="3" t="str">
        <f>"by Isabel Sanchez Vegara ; ill by Agathe Sorlet"</f>
        <v>by Isabel Sanchez Vegara ; ill by Agathe Sorlet</v>
      </c>
      <c r="G4236" s="3" t="str">
        <f>"Frances Lincoln Children&amp;apos;s"</f>
        <v>Frances Lincoln Children&amp;apos;s</v>
      </c>
      <c r="H4236" s="2" t="str">
        <f>"2018"</f>
        <v>2018</v>
      </c>
      <c r="I4236" s="3" t="str">
        <f>""</f>
        <v/>
      </c>
    </row>
    <row r="4237" spans="1:9" x14ac:dyDescent="0.3">
      <c r="A4237" s="2">
        <v>4236</v>
      </c>
      <c r="B4237" s="4" t="s">
        <v>3</v>
      </c>
      <c r="C4237" s="3" t="str">
        <f>"TFC000004832"</f>
        <v>TFC000004832</v>
      </c>
      <c r="D4237" s="3" t="str">
        <f>"F300-22-0565-5"</f>
        <v>F300-22-0565-5</v>
      </c>
      <c r="E4237" s="3" t="str">
        <f>"m n o"</f>
        <v>m n o</v>
      </c>
      <c r="F4237" s="3" t="str">
        <f>"[by Ladybird Books]"</f>
        <v>[by Ladybird Books]</v>
      </c>
      <c r="G4237" s="3" t="str">
        <f>"Ladybird Books"</f>
        <v>Ladybird Books</v>
      </c>
      <c r="H4237" s="2" t="str">
        <f>"2020"</f>
        <v>2020</v>
      </c>
      <c r="I4237" s="3" t="str">
        <f>""</f>
        <v/>
      </c>
    </row>
    <row r="4238" spans="1:9" x14ac:dyDescent="0.3">
      <c r="A4238" s="2">
        <v>4237</v>
      </c>
      <c r="B4238" s="4" t="s">
        <v>3</v>
      </c>
      <c r="C4238" s="3" t="str">
        <f>"TFC000004741"</f>
        <v>TFC000004741</v>
      </c>
      <c r="D4238" s="3" t="str">
        <f>"F800-22-0525-5"</f>
        <v>F800-22-0525-5</v>
      </c>
      <c r="E4238" s="3" t="str">
        <f>"Canal Boat"</f>
        <v>Canal Boat</v>
      </c>
      <c r="F4238" s="3" t="str">
        <f>"by Ladybird"</f>
        <v>by Ladybird</v>
      </c>
      <c r="G4238" s="3" t="str">
        <f>"Ladybird"</f>
        <v>Ladybird</v>
      </c>
      <c r="H4238" s="2" t="str">
        <f>"2020"</f>
        <v>2020</v>
      </c>
      <c r="I4238" s="3" t="str">
        <f>""</f>
        <v/>
      </c>
    </row>
    <row r="4239" spans="1:9" x14ac:dyDescent="0.3">
      <c r="A4239" s="2">
        <v>4238</v>
      </c>
      <c r="B4239" s="4" t="s">
        <v>3</v>
      </c>
      <c r="C4239" s="3" t="str">
        <f>"TFC000004833"</f>
        <v>TFC000004833</v>
      </c>
      <c r="D4239" s="3" t="str">
        <f>"F300-22-0565-6"</f>
        <v>F300-22-0565-6</v>
      </c>
      <c r="E4239" s="3" t="str">
        <f>"p q r"</f>
        <v>p q r</v>
      </c>
      <c r="F4239" s="3" t="str">
        <f>"[by Ladybird Books]"</f>
        <v>[by Ladybird Books]</v>
      </c>
      <c r="G4239" s="3" t="str">
        <f>"Ladybird Books"</f>
        <v>Ladybird Books</v>
      </c>
      <c r="H4239" s="2" t="str">
        <f>"2020"</f>
        <v>2020</v>
      </c>
      <c r="I4239" s="3" t="str">
        <f>""</f>
        <v/>
      </c>
    </row>
    <row r="4240" spans="1:9" x14ac:dyDescent="0.3">
      <c r="A4240" s="2">
        <v>4239</v>
      </c>
      <c r="B4240" s="4" t="s">
        <v>3</v>
      </c>
      <c r="C4240" s="3" t="str">
        <f>"TFC000004742"</f>
        <v>TFC000004742</v>
      </c>
      <c r="D4240" s="3" t="str">
        <f>"F800-22-0525-6"</f>
        <v>F800-22-0525-6</v>
      </c>
      <c r="E4240" s="3" t="str">
        <f>"Digging Up the Road"</f>
        <v>Digging Up the Road</v>
      </c>
      <c r="F4240" s="3" t="str">
        <f>"by Ladybird"</f>
        <v>by Ladybird</v>
      </c>
      <c r="G4240" s="3" t="str">
        <f>"Ladybird"</f>
        <v>Ladybird</v>
      </c>
      <c r="H4240" s="2" t="str">
        <f>"2020"</f>
        <v>2020</v>
      </c>
      <c r="I4240" s="3" t="str">
        <f>""</f>
        <v/>
      </c>
    </row>
    <row r="4241" spans="1:9" x14ac:dyDescent="0.3">
      <c r="A4241" s="2">
        <v>4240</v>
      </c>
      <c r="B4241" s="4" t="s">
        <v>3</v>
      </c>
      <c r="C4241" s="3" t="str">
        <f>"TFC000004834"</f>
        <v>TFC000004834</v>
      </c>
      <c r="D4241" s="3" t="str">
        <f>"F300-22-0565-7"</f>
        <v>F300-22-0565-7</v>
      </c>
      <c r="E4241" s="3" t="str">
        <f>"s t u v"</f>
        <v>s t u v</v>
      </c>
      <c r="F4241" s="3" t="str">
        <f>"[by Ladybird Books]"</f>
        <v>[by Ladybird Books]</v>
      </c>
      <c r="G4241" s="3" t="str">
        <f>"Ladybird Books"</f>
        <v>Ladybird Books</v>
      </c>
      <c r="H4241" s="2" t="str">
        <f>"2020"</f>
        <v>2020</v>
      </c>
      <c r="I4241" s="3" t="str">
        <f>""</f>
        <v/>
      </c>
    </row>
    <row r="4242" spans="1:9" x14ac:dyDescent="0.3">
      <c r="A4242" s="2">
        <v>4241</v>
      </c>
      <c r="B4242" s="4" t="s">
        <v>3</v>
      </c>
      <c r="C4242" s="3" t="str">
        <f>"TFC000004743"</f>
        <v>TFC000004743</v>
      </c>
      <c r="D4242" s="3" t="str">
        <f>"F800-22-0525-7"</f>
        <v>F800-22-0525-7</v>
      </c>
      <c r="E4242" s="3" t="str">
        <f>"Doctors"</f>
        <v>Doctors</v>
      </c>
      <c r="F4242" s="3" t="str">
        <f>"by Ladybird"</f>
        <v>by Ladybird</v>
      </c>
      <c r="G4242" s="3" t="str">
        <f>"Ladybird"</f>
        <v>Ladybird</v>
      </c>
      <c r="H4242" s="2" t="str">
        <f>"2020"</f>
        <v>2020</v>
      </c>
      <c r="I4242" s="3" t="str">
        <f>""</f>
        <v/>
      </c>
    </row>
    <row r="4243" spans="1:9" x14ac:dyDescent="0.3">
      <c r="A4243" s="2">
        <v>4242</v>
      </c>
      <c r="B4243" s="4" t="s">
        <v>3</v>
      </c>
      <c r="C4243" s="3" t="str">
        <f>"TFC000004744"</f>
        <v>TFC000004744</v>
      </c>
      <c r="D4243" s="3" t="str">
        <f>"F800-22-0525-8"</f>
        <v>F800-22-0525-8</v>
      </c>
      <c r="E4243" s="3" t="str">
        <f>"(The)Fire Engine"</f>
        <v>(The)Fire Engine</v>
      </c>
      <c r="F4243" s="3" t="str">
        <f>"by Ladybird"</f>
        <v>by Ladybird</v>
      </c>
      <c r="G4243" s="3" t="str">
        <f>"Ladybird"</f>
        <v>Ladybird</v>
      </c>
      <c r="H4243" s="2" t="str">
        <f>"2020"</f>
        <v>2020</v>
      </c>
      <c r="I4243" s="3" t="str">
        <f>""</f>
        <v/>
      </c>
    </row>
    <row r="4244" spans="1:9" x14ac:dyDescent="0.3">
      <c r="A4244" s="2">
        <v>4243</v>
      </c>
      <c r="B4244" s="4" t="s">
        <v>3</v>
      </c>
      <c r="C4244" s="3" t="str">
        <f>"TFC000004835"</f>
        <v>TFC000004835</v>
      </c>
      <c r="D4244" s="3" t="str">
        <f>"F300-22-0565-8"</f>
        <v>F300-22-0565-8</v>
      </c>
      <c r="E4244" s="3" t="str">
        <f>"w x y z"</f>
        <v>w x y z</v>
      </c>
      <c r="F4244" s="3" t="str">
        <f>"[by Ladybird Books]"</f>
        <v>[by Ladybird Books]</v>
      </c>
      <c r="G4244" s="3" t="str">
        <f>"Ladybird Books"</f>
        <v>Ladybird Books</v>
      </c>
      <c r="H4244" s="2" t="str">
        <f>"2020"</f>
        <v>2020</v>
      </c>
      <c r="I4244" s="3" t="str">
        <f>""</f>
        <v/>
      </c>
    </row>
    <row r="4245" spans="1:9" x14ac:dyDescent="0.3">
      <c r="A4245" s="2">
        <v>4244</v>
      </c>
      <c r="B4245" s="4" t="s">
        <v>3</v>
      </c>
      <c r="C4245" s="3" t="str">
        <f>"TFC000004128"</f>
        <v>TFC000004128</v>
      </c>
      <c r="D4245" s="3" t="str">
        <f>"F800-21-1013-9"</f>
        <v>F800-21-1013-9</v>
      </c>
      <c r="E4245" s="3" t="str">
        <f>"Freddie Ramos tracks down a drone"</f>
        <v>Freddie Ramos tracks down a drone</v>
      </c>
      <c r="F4245" s="3" t="str">
        <f>"by Jacqueline Jules, illustrated by Miguel Benitez"</f>
        <v>by Jacqueline Jules, illustrated by Miguel Benitez</v>
      </c>
      <c r="G4245" s="3" t="str">
        <f>"Albert Whitman &amp; Company"</f>
        <v>Albert Whitman &amp; Company</v>
      </c>
      <c r="H4245" s="2" t="str">
        <f>"2020"</f>
        <v>2020</v>
      </c>
      <c r="I4245" s="3" t="str">
        <f>""</f>
        <v/>
      </c>
    </row>
    <row r="4246" spans="1:9" x14ac:dyDescent="0.3">
      <c r="A4246" s="2">
        <v>4245</v>
      </c>
      <c r="B4246" s="4" t="s">
        <v>3</v>
      </c>
      <c r="C4246" s="3" t="str">
        <f>"TFC000004745"</f>
        <v>TFC000004745</v>
      </c>
      <c r="D4246" s="3" t="str">
        <f>"F800-22-0525-9"</f>
        <v>F800-22-0525-9</v>
      </c>
      <c r="E4246" s="3" t="str">
        <f>"Foggy Day"</f>
        <v>Foggy Day</v>
      </c>
      <c r="F4246" s="3" t="str">
        <f>"by Ladybird"</f>
        <v>by Ladybird</v>
      </c>
      <c r="G4246" s="3" t="str">
        <f>"Ladybird"</f>
        <v>Ladybird</v>
      </c>
      <c r="H4246" s="2" t="str">
        <f>"2020"</f>
        <v>2020</v>
      </c>
      <c r="I4246" s="3" t="str">
        <f>""</f>
        <v/>
      </c>
    </row>
    <row r="4247" spans="1:9" x14ac:dyDescent="0.3">
      <c r="A4247" s="2">
        <v>4246</v>
      </c>
      <c r="B4247" s="4" t="s">
        <v>3</v>
      </c>
      <c r="C4247" s="3" t="str">
        <f>"TFC000004127"</f>
        <v>TFC000004127</v>
      </c>
      <c r="D4247" s="3" t="str">
        <f>"F800-21-1012-10"</f>
        <v>F800-21-1012-10</v>
      </c>
      <c r="E4247" s="3" t="str">
        <f>"Freddie Ramos gets a sidekick"</f>
        <v>Freddie Ramos gets a sidekick</v>
      </c>
      <c r="F4247" s="3" t="str">
        <f>"by Jacqueline Jules, illustrated by Miguel Benitez"</f>
        <v>by Jacqueline Jules, illustrated by Miguel Benitez</v>
      </c>
      <c r="G4247" s="3" t="str">
        <f>"Albert Whitman &amp; Company"</f>
        <v>Albert Whitman &amp; Company</v>
      </c>
      <c r="H4247" s="2" t="str">
        <f>"2020"</f>
        <v>2020</v>
      </c>
      <c r="I4247" s="3" t="str">
        <f>""</f>
        <v/>
      </c>
    </row>
    <row r="4248" spans="1:9" x14ac:dyDescent="0.3">
      <c r="A4248" s="2">
        <v>4247</v>
      </c>
      <c r="B4248" s="4" t="s">
        <v>3</v>
      </c>
      <c r="C4248" s="3" t="str">
        <f>"TFC000004746"</f>
        <v>TFC000004746</v>
      </c>
      <c r="D4248" s="3" t="str">
        <f>"F800-22-0525-10"</f>
        <v>F800-22-0525-10</v>
      </c>
      <c r="E4248" s="3" t="str">
        <f>"George’s Birthday"</f>
        <v>George’s Birthday</v>
      </c>
      <c r="F4248" s="3" t="str">
        <f>"by Ladybird"</f>
        <v>by Ladybird</v>
      </c>
      <c r="G4248" s="3" t="str">
        <f>"Ladybird"</f>
        <v>Ladybird</v>
      </c>
      <c r="H4248" s="2" t="str">
        <f>"2020"</f>
        <v>2020</v>
      </c>
      <c r="I4248" s="3" t="str">
        <f>""</f>
        <v/>
      </c>
    </row>
    <row r="4249" spans="1:9" x14ac:dyDescent="0.3">
      <c r="A4249" s="2">
        <v>4248</v>
      </c>
      <c r="B4249" s="4" t="s">
        <v>3</v>
      </c>
      <c r="C4249" s="3" t="str">
        <f>"TFC000004126"</f>
        <v>TFC000004126</v>
      </c>
      <c r="D4249" s="3" t="str">
        <f>"F800-21-1011-11"</f>
        <v>F800-21-1011-11</v>
      </c>
      <c r="E4249" s="3" t="str">
        <f>"Freddie Ramos and the Meteorite"</f>
        <v>Freddie Ramos and the Meteorite</v>
      </c>
      <c r="F4249" s="3" t="str">
        <f>"by Jacqueline Jules, Keiron Ward"</f>
        <v>by Jacqueline Jules, Keiron Ward</v>
      </c>
      <c r="G4249" s="3" t="str">
        <f>"Albert Whitman"</f>
        <v>Albert Whitman</v>
      </c>
      <c r="H4249" s="2" t="str">
        <f>"2021."</f>
        <v>2021.</v>
      </c>
      <c r="I4249" s="3" t="str">
        <f>""</f>
        <v/>
      </c>
    </row>
    <row r="4250" spans="1:9" x14ac:dyDescent="0.3">
      <c r="A4250" s="2">
        <v>4249</v>
      </c>
      <c r="B4250" s="4" t="s">
        <v>3</v>
      </c>
      <c r="C4250" s="3" t="str">
        <f>"TFC000004747"</f>
        <v>TFC000004747</v>
      </c>
      <c r="D4250" s="3" t="str">
        <f>"F800-22-0525-11"</f>
        <v>F800-22-0525-11</v>
      </c>
      <c r="E4250" s="3" t="str">
        <f>"George’s Friend"</f>
        <v>George’s Friend</v>
      </c>
      <c r="F4250" s="3" t="str">
        <f>"by Ladybird"</f>
        <v>by Ladybird</v>
      </c>
      <c r="G4250" s="3" t="str">
        <f>"Ladybird"</f>
        <v>Ladybird</v>
      </c>
      <c r="H4250" s="2" t="str">
        <f>"2020"</f>
        <v>2020</v>
      </c>
      <c r="I4250" s="3" t="str">
        <f>""</f>
        <v/>
      </c>
    </row>
    <row r="4251" spans="1:9" x14ac:dyDescent="0.3">
      <c r="A4251" s="2">
        <v>4250</v>
      </c>
      <c r="B4251" s="4" t="s">
        <v>3</v>
      </c>
      <c r="C4251" s="3" t="str">
        <f>"TFC000004748"</f>
        <v>TFC000004748</v>
      </c>
      <c r="D4251" s="3" t="str">
        <f>"F800-22-0525-12"</f>
        <v>F800-22-0525-12</v>
      </c>
      <c r="E4251" s="3" t="str">
        <f>"George's Woolly Hat"</f>
        <v>George's Woolly Hat</v>
      </c>
      <c r="F4251" s="3" t="str">
        <f>"by Ladybird"</f>
        <v>by Ladybird</v>
      </c>
      <c r="G4251" s="3" t="str">
        <f>"Ladybird"</f>
        <v>Ladybird</v>
      </c>
      <c r="H4251" s="2" t="str">
        <f>"2020"</f>
        <v>2020</v>
      </c>
      <c r="I4251" s="3" t="str">
        <f>""</f>
        <v/>
      </c>
    </row>
    <row r="4252" spans="1:9" x14ac:dyDescent="0.3">
      <c r="A4252" s="2">
        <v>4251</v>
      </c>
      <c r="B4252" s="4" t="s">
        <v>3</v>
      </c>
      <c r="C4252" s="3" t="str">
        <f>"TFC000004749"</f>
        <v>TFC000004749</v>
      </c>
      <c r="D4252" s="3" t="str">
        <f>"F800-22-0525-13"</f>
        <v>F800-22-0525-13</v>
      </c>
      <c r="E4252" s="3" t="str">
        <f>"Grampy Rabbit's Hovercraft"</f>
        <v>Grampy Rabbit's Hovercraft</v>
      </c>
      <c r="F4252" s="3" t="str">
        <f>"by Ladybird"</f>
        <v>by Ladybird</v>
      </c>
      <c r="G4252" s="3" t="str">
        <f>"Ladybird"</f>
        <v>Ladybird</v>
      </c>
      <c r="H4252" s="2" t="str">
        <f>"2020"</f>
        <v>2020</v>
      </c>
      <c r="I4252" s="3" t="str">
        <f>""</f>
        <v/>
      </c>
    </row>
    <row r="4253" spans="1:9" x14ac:dyDescent="0.3">
      <c r="A4253" s="2">
        <v>4252</v>
      </c>
      <c r="B4253" s="4" t="s">
        <v>3</v>
      </c>
      <c r="C4253" s="3" t="str">
        <f>"TFC000004750"</f>
        <v>TFC000004750</v>
      </c>
      <c r="D4253" s="3" t="str">
        <f>"F800-22-0525-14"</f>
        <v>F800-22-0525-14</v>
      </c>
      <c r="E4253" s="3" t="str">
        <f>"Grandpa Pig’s Boat"</f>
        <v>Grandpa Pig’s Boat</v>
      </c>
      <c r="F4253" s="3" t="str">
        <f>"by Ladybird"</f>
        <v>by Ladybird</v>
      </c>
      <c r="G4253" s="3" t="str">
        <f>"Ladybird"</f>
        <v>Ladybird</v>
      </c>
      <c r="H4253" s="2" t="str">
        <f>"2020"</f>
        <v>2020</v>
      </c>
      <c r="I4253" s="3" t="str">
        <f>""</f>
        <v/>
      </c>
    </row>
    <row r="4254" spans="1:9" x14ac:dyDescent="0.3">
      <c r="A4254" s="2">
        <v>4253</v>
      </c>
      <c r="B4254" s="4" t="s">
        <v>3</v>
      </c>
      <c r="C4254" s="3" t="str">
        <f>"TFC000004751"</f>
        <v>TFC000004751</v>
      </c>
      <c r="D4254" s="3" t="str">
        <f>"F800-22-0525-15"</f>
        <v>F800-22-0525-15</v>
      </c>
      <c r="E4254" s="3" t="str">
        <f>"Grandpa Pig’s Computer"</f>
        <v>Grandpa Pig’s Computer</v>
      </c>
      <c r="F4254" s="3" t="str">
        <f>"by Ladybird"</f>
        <v>by Ladybird</v>
      </c>
      <c r="G4254" s="3" t="str">
        <f>"Ladybird"</f>
        <v>Ladybird</v>
      </c>
      <c r="H4254" s="2" t="str">
        <f>"2020"</f>
        <v>2020</v>
      </c>
      <c r="I4254" s="3" t="str">
        <f>""</f>
        <v/>
      </c>
    </row>
    <row r="4255" spans="1:9" x14ac:dyDescent="0.3">
      <c r="A4255" s="2">
        <v>4254</v>
      </c>
      <c r="B4255" s="4" t="s">
        <v>3</v>
      </c>
      <c r="C4255" s="3" t="str">
        <f>"TFC000004752"</f>
        <v>TFC000004752</v>
      </c>
      <c r="D4255" s="3" t="str">
        <f>"F800-22-0525-16"</f>
        <v>F800-22-0525-16</v>
      </c>
      <c r="E4255" s="3" t="str">
        <f>"Grandpa Pig's Greenhouse"</f>
        <v>Grandpa Pig's Greenhouse</v>
      </c>
      <c r="F4255" s="3" t="str">
        <f>"by Ladybird"</f>
        <v>by Ladybird</v>
      </c>
      <c r="G4255" s="3" t="str">
        <f>"Ladybird"</f>
        <v>Ladybird</v>
      </c>
      <c r="H4255" s="2" t="str">
        <f>"2020"</f>
        <v>2020</v>
      </c>
      <c r="I4255" s="3" t="str">
        <f>""</f>
        <v/>
      </c>
    </row>
    <row r="4256" spans="1:9" x14ac:dyDescent="0.3">
      <c r="A4256" s="2">
        <v>4255</v>
      </c>
      <c r="B4256" s="4" t="s">
        <v>3</v>
      </c>
      <c r="C4256" s="3" t="str">
        <f>"TFC000004753"</f>
        <v>TFC000004753</v>
      </c>
      <c r="D4256" s="3" t="str">
        <f>"F800-22-0525-17"</f>
        <v>F800-22-0525-17</v>
      </c>
      <c r="E4256" s="3" t="str">
        <f>"Grandpa Pig's Toy Plane"</f>
        <v>Grandpa Pig's Toy Plane</v>
      </c>
      <c r="F4256" s="3" t="str">
        <f>"by Ladybird"</f>
        <v>by Ladybird</v>
      </c>
      <c r="G4256" s="3" t="str">
        <f>"Ladybird"</f>
        <v>Ladybird</v>
      </c>
      <c r="H4256" s="2" t="str">
        <f>"2020"</f>
        <v>2020</v>
      </c>
      <c r="I4256" s="3" t="str">
        <f>""</f>
        <v/>
      </c>
    </row>
    <row r="4257" spans="1:9" x14ac:dyDescent="0.3">
      <c r="A4257" s="2">
        <v>4256</v>
      </c>
      <c r="B4257" s="4" t="s">
        <v>3</v>
      </c>
      <c r="C4257" s="3" t="str">
        <f>"TFC000004754"</f>
        <v>TFC000004754</v>
      </c>
      <c r="D4257" s="3" t="str">
        <f>"F800-22-0525-18"</f>
        <v>F800-22-0525-18</v>
      </c>
      <c r="E4257" s="3" t="str">
        <f>"International Day"</f>
        <v>International Day</v>
      </c>
      <c r="F4257" s="3" t="str">
        <f>"by Ladybird"</f>
        <v>by Ladybird</v>
      </c>
      <c r="G4257" s="3" t="str">
        <f>"Ladybird"</f>
        <v>Ladybird</v>
      </c>
      <c r="H4257" s="2" t="str">
        <f>"2020"</f>
        <v>2020</v>
      </c>
      <c r="I4257" s="3" t="str">
        <f>""</f>
        <v/>
      </c>
    </row>
    <row r="4258" spans="1:9" x14ac:dyDescent="0.3">
      <c r="A4258" s="2">
        <v>4257</v>
      </c>
      <c r="B4258" s="4" t="s">
        <v>3</v>
      </c>
      <c r="C4258" s="3" t="str">
        <f>"TFC000004755"</f>
        <v>TFC000004755</v>
      </c>
      <c r="D4258" s="3" t="str">
        <f>"F800-22-0525-19"</f>
        <v>F800-22-0525-19</v>
      </c>
      <c r="E4258" s="3" t="str">
        <f>"Grampy Rabbit’s Lighthouse"</f>
        <v>Grampy Rabbit’s Lighthouse</v>
      </c>
      <c r="F4258" s="3" t="str">
        <f>"by Ladybird"</f>
        <v>by Ladybird</v>
      </c>
      <c r="G4258" s="3" t="str">
        <f>"Ladybird"</f>
        <v>Ladybird</v>
      </c>
      <c r="H4258" s="2" t="str">
        <f>"2020"</f>
        <v>2020</v>
      </c>
      <c r="I4258" s="3" t="str">
        <f>""</f>
        <v/>
      </c>
    </row>
    <row r="4259" spans="1:9" x14ac:dyDescent="0.3">
      <c r="A4259" s="2">
        <v>4258</v>
      </c>
      <c r="B4259" s="4" t="s">
        <v>3</v>
      </c>
      <c r="C4259" s="3" t="str">
        <f>"TFC000004756"</f>
        <v>TFC000004756</v>
      </c>
      <c r="D4259" s="3" t="str">
        <f>"F800-22-0525-20"</f>
        <v>F800-22-0525-20</v>
      </c>
      <c r="E4259" s="3" t="str">
        <f>"Magic Mirrors"</f>
        <v>Magic Mirrors</v>
      </c>
      <c r="F4259" s="3" t="str">
        <f>"by Ladybird"</f>
        <v>by Ladybird</v>
      </c>
      <c r="G4259" s="3" t="str">
        <f>"Ladybird"</f>
        <v>Ladybird</v>
      </c>
      <c r="H4259" s="2" t="str">
        <f>"2020"</f>
        <v>2020</v>
      </c>
      <c r="I4259" s="3" t="str">
        <f>""</f>
        <v/>
      </c>
    </row>
    <row r="4260" spans="1:9" x14ac:dyDescent="0.3">
      <c r="A4260" s="2">
        <v>4259</v>
      </c>
      <c r="B4260" s="4" t="s">
        <v>3</v>
      </c>
      <c r="C4260" s="3" t="str">
        <f>"TFC000004757"</f>
        <v>TFC000004757</v>
      </c>
      <c r="D4260" s="3" t="str">
        <f>"F800-22-0525-21"</f>
        <v>F800-22-0525-21</v>
      </c>
      <c r="E4260" s="3" t="str">
        <f>"Miss Rabbit's Taxi"</f>
        <v>Miss Rabbit's Taxi</v>
      </c>
      <c r="F4260" s="3" t="str">
        <f>"by Ladybird"</f>
        <v>by Ladybird</v>
      </c>
      <c r="G4260" s="3" t="str">
        <f>"Ladybird"</f>
        <v>Ladybird</v>
      </c>
      <c r="H4260" s="2" t="str">
        <f>"2020"</f>
        <v>2020</v>
      </c>
      <c r="I4260" s="3" t="str">
        <f>""</f>
        <v/>
      </c>
    </row>
    <row r="4261" spans="1:9" x14ac:dyDescent="0.3">
      <c r="A4261" s="2">
        <v>4260</v>
      </c>
      <c r="B4261" s="4" t="s">
        <v>3</v>
      </c>
      <c r="C4261" s="3" t="str">
        <f>"TFC000004758"</f>
        <v>TFC000004758</v>
      </c>
      <c r="D4261" s="3" t="str">
        <f>"F800-22-0525-22"</f>
        <v>F800-22-0525-22</v>
      </c>
      <c r="E4261" s="3" t="str">
        <f>"Mummy Pig's Book"</f>
        <v>Mummy Pig's Book</v>
      </c>
      <c r="F4261" s="3" t="str">
        <f>"by Ladybird"</f>
        <v>by Ladybird</v>
      </c>
      <c r="G4261" s="3" t="str">
        <f>"Ladybird"</f>
        <v>Ladybird</v>
      </c>
      <c r="H4261" s="2" t="str">
        <f>"2020"</f>
        <v>2020</v>
      </c>
      <c r="I4261" s="3" t="str">
        <f>""</f>
        <v/>
      </c>
    </row>
    <row r="4262" spans="1:9" x14ac:dyDescent="0.3">
      <c r="A4262" s="2">
        <v>4261</v>
      </c>
      <c r="B4262" s="4" t="s">
        <v>3</v>
      </c>
      <c r="C4262" s="3" t="str">
        <f>"TFC000004759"</f>
        <v>TFC000004759</v>
      </c>
      <c r="D4262" s="3" t="str">
        <f>"F800-22-0525-23"</f>
        <v>F800-22-0525-23</v>
      </c>
      <c r="E4262" s="3" t="str">
        <f>"Mummy Pig's Blackberries"</f>
        <v>Mummy Pig's Blackberries</v>
      </c>
      <c r="F4262" s="3" t="str">
        <f>"by Ladybird"</f>
        <v>by Ladybird</v>
      </c>
      <c r="G4262" s="3" t="str">
        <f>"Ladybird"</f>
        <v>Ladybird</v>
      </c>
      <c r="H4262" s="2" t="str">
        <f>"2020"</f>
        <v>2020</v>
      </c>
      <c r="I4262" s="3" t="str">
        <f>""</f>
        <v/>
      </c>
    </row>
    <row r="4263" spans="1:9" x14ac:dyDescent="0.3">
      <c r="A4263" s="2">
        <v>4262</v>
      </c>
      <c r="B4263" s="4" t="s">
        <v>3</v>
      </c>
      <c r="C4263" s="3" t="str">
        <f>"TFC000004760"</f>
        <v>TFC000004760</v>
      </c>
      <c r="D4263" s="3" t="str">
        <f>"F800-22-0525-24"</f>
        <v>F800-22-0525-24</v>
      </c>
      <c r="E4263" s="3" t="str">
        <f>"Numbers"</f>
        <v>Numbers</v>
      </c>
      <c r="F4263" s="3" t="str">
        <f>"by Ladybird"</f>
        <v>by Ladybird</v>
      </c>
      <c r="G4263" s="3" t="str">
        <f>"Ladybird"</f>
        <v>Ladybird</v>
      </c>
      <c r="H4263" s="2" t="str">
        <f>"2020"</f>
        <v>2020</v>
      </c>
      <c r="I4263" s="3" t="str">
        <f>""</f>
        <v/>
      </c>
    </row>
    <row r="4264" spans="1:9" x14ac:dyDescent="0.3">
      <c r="A4264" s="2">
        <v>4263</v>
      </c>
      <c r="B4264" s="4" t="s">
        <v>3</v>
      </c>
      <c r="C4264" s="3" t="str">
        <f>"TFC000004761"</f>
        <v>TFC000004761</v>
      </c>
      <c r="D4264" s="3" t="str">
        <f>"F800-22-0525-25"</f>
        <v>F800-22-0525-25</v>
      </c>
      <c r="E4264" s="3" t="str">
        <f>"Peppa's Painting"</f>
        <v>Peppa's Painting</v>
      </c>
      <c r="F4264" s="3" t="str">
        <f>"by Ladybird"</f>
        <v>by Ladybird</v>
      </c>
      <c r="G4264" s="3" t="str">
        <f>"Ladybird"</f>
        <v>Ladybird</v>
      </c>
      <c r="H4264" s="2" t="str">
        <f>"2020"</f>
        <v>2020</v>
      </c>
      <c r="I4264" s="3" t="str">
        <f>""</f>
        <v/>
      </c>
    </row>
    <row r="4265" spans="1:9" x14ac:dyDescent="0.3">
      <c r="A4265" s="2">
        <v>4264</v>
      </c>
      <c r="B4265" s="4" t="s">
        <v>3</v>
      </c>
      <c r="C4265" s="3" t="str">
        <f>"TFC000004762"</f>
        <v>TFC000004762</v>
      </c>
      <c r="D4265" s="3" t="str">
        <f>"F800-22-0525-26"</f>
        <v>F800-22-0525-26</v>
      </c>
      <c r="E4265" s="3" t="str">
        <f>"Pedro is Late"</f>
        <v>Pedro is Late</v>
      </c>
      <c r="F4265" s="3" t="str">
        <f>"by Ladybird"</f>
        <v>by Ladybird</v>
      </c>
      <c r="G4265" s="3" t="str">
        <f>"Ladybird"</f>
        <v>Ladybird</v>
      </c>
      <c r="H4265" s="2" t="str">
        <f>"2020"</f>
        <v>2020</v>
      </c>
      <c r="I4265" s="3" t="str">
        <f>""</f>
        <v/>
      </c>
    </row>
    <row r="4266" spans="1:9" x14ac:dyDescent="0.3">
      <c r="A4266" s="2">
        <v>4265</v>
      </c>
      <c r="B4266" s="4" t="s">
        <v>3</v>
      </c>
      <c r="C4266" s="3" t="str">
        <f>"TFC000004763"</f>
        <v>TFC000004763</v>
      </c>
      <c r="D4266" s="3" t="str">
        <f>"F800-22-0525-27"</f>
        <v>F800-22-0525-27</v>
      </c>
      <c r="E4266" s="3" t="str">
        <f>"Pedro’s Cough"</f>
        <v>Pedro’s Cough</v>
      </c>
      <c r="F4266" s="3" t="str">
        <f>"by Ladybird"</f>
        <v>by Ladybird</v>
      </c>
      <c r="G4266" s="3" t="str">
        <f>"Ladybird"</f>
        <v>Ladybird</v>
      </c>
      <c r="H4266" s="2" t="str">
        <f>"2020"</f>
        <v>2020</v>
      </c>
      <c r="I4266" s="3" t="str">
        <f>""</f>
        <v/>
      </c>
    </row>
    <row r="4267" spans="1:9" x14ac:dyDescent="0.3">
      <c r="A4267" s="2">
        <v>4266</v>
      </c>
      <c r="B4267" s="4" t="s">
        <v>3</v>
      </c>
      <c r="C4267" s="3" t="str">
        <f>"TFC000004764"</f>
        <v>TFC000004764</v>
      </c>
      <c r="D4267" s="3" t="str">
        <f>"F800-22-0525-28"</f>
        <v>F800-22-0525-28</v>
      </c>
      <c r="E4267" s="3" t="str">
        <f>"Peppa's Pen Pal"</f>
        <v>Peppa's Pen Pal</v>
      </c>
      <c r="F4267" s="3" t="str">
        <f>"by Ladybird"</f>
        <v>by Ladybird</v>
      </c>
      <c r="G4267" s="3" t="str">
        <f>"Ladybird"</f>
        <v>Ladybird</v>
      </c>
      <c r="H4267" s="2" t="str">
        <f>"2020"</f>
        <v>2020</v>
      </c>
      <c r="I4267" s="3" t="str">
        <f>""</f>
        <v/>
      </c>
    </row>
    <row r="4268" spans="1:9" x14ac:dyDescent="0.3">
      <c r="A4268" s="2">
        <v>4267</v>
      </c>
      <c r="B4268" s="4" t="s">
        <v>3</v>
      </c>
      <c r="C4268" s="3" t="str">
        <f>"TFC000004765"</f>
        <v>TFC000004765</v>
      </c>
      <c r="D4268" s="3" t="str">
        <f>"F800-22-0525-29"</f>
        <v>F800-22-0525-29</v>
      </c>
      <c r="E4268" s="3" t="str">
        <f>"Peppa's School Project"</f>
        <v>Peppa's School Project</v>
      </c>
      <c r="F4268" s="3" t="str">
        <f>"by Ladybird"</f>
        <v>by Ladybird</v>
      </c>
      <c r="G4268" s="3" t="str">
        <f>"Ladybird"</f>
        <v>Ladybird</v>
      </c>
      <c r="H4268" s="2" t="str">
        <f>"2020"</f>
        <v>2020</v>
      </c>
      <c r="I4268" s="3" t="str">
        <f>""</f>
        <v/>
      </c>
    </row>
    <row r="4269" spans="1:9" x14ac:dyDescent="0.3">
      <c r="A4269" s="2">
        <v>4268</v>
      </c>
      <c r="B4269" s="4" t="s">
        <v>3</v>
      </c>
      <c r="C4269" s="3" t="str">
        <f>"TFC000004766"</f>
        <v>TFC000004766</v>
      </c>
      <c r="D4269" s="3" t="str">
        <f>"F800-22-0525-30"</f>
        <v>F800-22-0525-30</v>
      </c>
      <c r="E4269" s="3" t="str">
        <f>"Peppa and George's Garden"</f>
        <v>Peppa and George's Garden</v>
      </c>
      <c r="F4269" s="3" t="str">
        <f>"by Ladybird"</f>
        <v>by Ladybird</v>
      </c>
      <c r="G4269" s="3" t="str">
        <f>"Ladybird"</f>
        <v>Ladybird</v>
      </c>
      <c r="H4269" s="2" t="str">
        <f>"2020"</f>
        <v>2020</v>
      </c>
      <c r="I4269" s="3" t="str">
        <f>""</f>
        <v/>
      </c>
    </row>
    <row r="4270" spans="1:9" x14ac:dyDescent="0.3">
      <c r="A4270" s="2">
        <v>4269</v>
      </c>
      <c r="B4270" s="4" t="s">
        <v>3</v>
      </c>
      <c r="C4270" s="3" t="str">
        <f>"TFC000004767"</f>
        <v>TFC000004767</v>
      </c>
      <c r="D4270" s="3" t="str">
        <f>"F800-22-0525-31"</f>
        <v>F800-22-0525-31</v>
      </c>
      <c r="E4270" s="3" t="str">
        <f>"Peppa's Lunch"</f>
        <v>Peppa's Lunch</v>
      </c>
      <c r="F4270" s="3" t="str">
        <f>"by Ladybird"</f>
        <v>by Ladybird</v>
      </c>
      <c r="G4270" s="3" t="str">
        <f>"Ladybird"</f>
        <v>Ladybird</v>
      </c>
      <c r="H4270" s="2" t="str">
        <f>"2020"</f>
        <v>2020</v>
      </c>
      <c r="I4270" s="3" t="str">
        <f>""</f>
        <v/>
      </c>
    </row>
    <row r="4271" spans="1:9" x14ac:dyDescent="0.3">
      <c r="A4271" s="2">
        <v>4270</v>
      </c>
      <c r="B4271" s="4" t="s">
        <v>3</v>
      </c>
      <c r="C4271" s="3" t="str">
        <f>"TFC000004768"</f>
        <v>TFC000004768</v>
      </c>
      <c r="D4271" s="3" t="str">
        <f>"F800-22-0525-32"</f>
        <v>F800-22-0525-32</v>
      </c>
      <c r="E4271" s="3" t="str">
        <f>"Pretend Friend"</f>
        <v>Pretend Friend</v>
      </c>
      <c r="F4271" s="3" t="str">
        <f>"by Ladybird"</f>
        <v>by Ladybird</v>
      </c>
      <c r="G4271" s="3" t="str">
        <f>"Ladybird"</f>
        <v>Ladybird</v>
      </c>
      <c r="H4271" s="2" t="str">
        <f>"2020"</f>
        <v>2020</v>
      </c>
      <c r="I4271" s="3" t="str">
        <f>""</f>
        <v/>
      </c>
    </row>
    <row r="4272" spans="1:9" x14ac:dyDescent="0.3">
      <c r="A4272" s="2">
        <v>4271</v>
      </c>
      <c r="B4272" s="4" t="s">
        <v>3</v>
      </c>
      <c r="C4272" s="3" t="str">
        <f>"TFC000004769"</f>
        <v>TFC000004769</v>
      </c>
      <c r="D4272" s="3" t="str">
        <f>"F800-22-0525-33"</f>
        <v>F800-22-0525-33</v>
      </c>
      <c r="E4272" s="3" t="str">
        <f>"Rock Pools"</f>
        <v>Rock Pools</v>
      </c>
      <c r="F4272" s="3" t="str">
        <f>"by Ladybird"</f>
        <v>by Ladybird</v>
      </c>
      <c r="G4272" s="3" t="str">
        <f>"Ladybird"</f>
        <v>Ladybird</v>
      </c>
      <c r="H4272" s="2" t="str">
        <f>"2020"</f>
        <v>2020</v>
      </c>
      <c r="I4272" s="3" t="str">
        <f>""</f>
        <v/>
      </c>
    </row>
    <row r="4273" spans="1:9" x14ac:dyDescent="0.3">
      <c r="A4273" s="2">
        <v>4272</v>
      </c>
      <c r="B4273" s="4" t="s">
        <v>3</v>
      </c>
      <c r="C4273" s="3" t="str">
        <f>"TFC000004770"</f>
        <v>TFC000004770</v>
      </c>
      <c r="D4273" s="3" t="str">
        <f>"F800-22-0525-34"</f>
        <v>F800-22-0525-34</v>
      </c>
      <c r="E4273" s="3" t="str">
        <f>"Peppa Learns French"</f>
        <v>Peppa Learns French</v>
      </c>
      <c r="F4273" s="3" t="str">
        <f>"by Ladybird"</f>
        <v>by Ladybird</v>
      </c>
      <c r="G4273" s="3" t="str">
        <f>"Ladybird"</f>
        <v>Ladybird</v>
      </c>
      <c r="H4273" s="2" t="str">
        <f>"2020"</f>
        <v>2020</v>
      </c>
      <c r="I4273" s="3" t="str">
        <f>""</f>
        <v/>
      </c>
    </row>
    <row r="4274" spans="1:9" x14ac:dyDescent="0.3">
      <c r="A4274" s="2">
        <v>4273</v>
      </c>
      <c r="B4274" s="4" t="s">
        <v>3</v>
      </c>
      <c r="C4274" s="3" t="str">
        <f>"TFC000004771"</f>
        <v>TFC000004771</v>
      </c>
      <c r="D4274" s="3" t="str">
        <f>"F800-22-0525-35"</f>
        <v>F800-22-0525-35</v>
      </c>
      <c r="E4274" s="3" t="str">
        <f>"Shake, Rattle and Bang"</f>
        <v>Shake, Rattle and Bang</v>
      </c>
      <c r="F4274" s="3" t="str">
        <f>"by Ladybird"</f>
        <v>by Ladybird</v>
      </c>
      <c r="G4274" s="3" t="str">
        <f>"Ladybird"</f>
        <v>Ladybird</v>
      </c>
      <c r="H4274" s="2" t="str">
        <f>"2020"</f>
        <v>2020</v>
      </c>
      <c r="I4274" s="3" t="str">
        <f>""</f>
        <v/>
      </c>
    </row>
    <row r="4275" spans="1:9" x14ac:dyDescent="0.3">
      <c r="A4275" s="2">
        <v>4274</v>
      </c>
      <c r="B4275" s="4" t="s">
        <v>3</v>
      </c>
      <c r="C4275" s="3" t="str">
        <f>"TFC000004772"</f>
        <v>TFC000004772</v>
      </c>
      <c r="D4275" s="3" t="str">
        <f>"F800-22-0525-36"</f>
        <v>F800-22-0525-36</v>
      </c>
      <c r="E4275" s="3" t="str">
        <f>"Simple Science"</f>
        <v>Simple Science</v>
      </c>
      <c r="F4275" s="3" t="str">
        <f>"by Ladybird"</f>
        <v>by Ladybird</v>
      </c>
      <c r="G4275" s="3" t="str">
        <f>"Ladybird"</f>
        <v>Ladybird</v>
      </c>
      <c r="H4275" s="2" t="str">
        <f>"2020"</f>
        <v>2020</v>
      </c>
      <c r="I4275" s="3" t="str">
        <f>""</f>
        <v/>
      </c>
    </row>
    <row r="4276" spans="1:9" x14ac:dyDescent="0.3">
      <c r="A4276" s="2">
        <v>4275</v>
      </c>
      <c r="B4276" s="4" t="s">
        <v>3</v>
      </c>
      <c r="C4276" s="3" t="str">
        <f>"TFC000004773"</f>
        <v>TFC000004773</v>
      </c>
      <c r="D4276" s="3" t="str">
        <f>"F800-22-0525-37"</f>
        <v>F800-22-0525-37</v>
      </c>
      <c r="E4276" s="3" t="str">
        <f>"Stamps"</f>
        <v>Stamps</v>
      </c>
      <c r="F4276" s="3" t="str">
        <f>"by Ladybird"</f>
        <v>by Ladybird</v>
      </c>
      <c r="G4276" s="3" t="str">
        <f>"Ladybird"</f>
        <v>Ladybird</v>
      </c>
      <c r="H4276" s="2" t="str">
        <f>"2020"</f>
        <v>2020</v>
      </c>
      <c r="I4276" s="3" t="str">
        <f>""</f>
        <v/>
      </c>
    </row>
    <row r="4277" spans="1:9" x14ac:dyDescent="0.3">
      <c r="A4277" s="2">
        <v>4276</v>
      </c>
      <c r="B4277" s="4" t="s">
        <v>3</v>
      </c>
      <c r="C4277" s="3" t="str">
        <f>"TFC000004774"</f>
        <v>TFC000004774</v>
      </c>
      <c r="D4277" s="3" t="str">
        <f>"F800-22-0525-38"</f>
        <v>F800-22-0525-38</v>
      </c>
      <c r="E4277" s="3" t="str">
        <f>"Sun, Sea and Snow"</f>
        <v>Sun, Sea and Snow</v>
      </c>
      <c r="F4277" s="3" t="str">
        <f>"by Ladybird"</f>
        <v>by Ladybird</v>
      </c>
      <c r="G4277" s="3" t="str">
        <f>"Ladybird"</f>
        <v>Ladybird</v>
      </c>
      <c r="H4277" s="2" t="str">
        <f>"2020"</f>
        <v>2020</v>
      </c>
      <c r="I4277" s="3" t="str">
        <f>""</f>
        <v/>
      </c>
    </row>
    <row r="4278" spans="1:9" x14ac:dyDescent="0.3">
      <c r="A4278" s="2">
        <v>4277</v>
      </c>
      <c r="B4278" s="4" t="s">
        <v>3</v>
      </c>
      <c r="C4278" s="3" t="str">
        <f>"TFC000004775"</f>
        <v>TFC000004775</v>
      </c>
      <c r="D4278" s="3" t="str">
        <f>"F800-22-0525-39"</f>
        <v>F800-22-0525-39</v>
      </c>
      <c r="E4278" s="3" t="str">
        <f>"Granny and Grandpa Pig's Attic"</f>
        <v>Granny and Grandpa Pig's Attic</v>
      </c>
      <c r="F4278" s="3" t="str">
        <f>"by Ladybird"</f>
        <v>by Ladybird</v>
      </c>
      <c r="G4278" s="3" t="str">
        <f>"Ladybird"</f>
        <v>Ladybird</v>
      </c>
      <c r="H4278" s="2" t="str">
        <f>"2020"</f>
        <v>2020</v>
      </c>
      <c r="I4278" s="3" t="str">
        <f>""</f>
        <v/>
      </c>
    </row>
    <row r="4279" spans="1:9" x14ac:dyDescent="0.3">
      <c r="A4279" s="2">
        <v>4278</v>
      </c>
      <c r="B4279" s="4" t="s">
        <v>3</v>
      </c>
      <c r="C4279" s="3" t="str">
        <f>"TFC000004776"</f>
        <v>TFC000004776</v>
      </c>
      <c r="D4279" s="3" t="str">
        <f>"F800-22-0525-40"</f>
        <v>F800-22-0525-40</v>
      </c>
      <c r="E4279" s="3" t="str">
        <f>"(The)Power Cut"</f>
        <v>(The)Power Cut</v>
      </c>
      <c r="F4279" s="3" t="str">
        <f>"by Ladybird"</f>
        <v>by Ladybird</v>
      </c>
      <c r="G4279" s="3" t="str">
        <f>"Ladybird"</f>
        <v>Ladybird</v>
      </c>
      <c r="H4279" s="2" t="str">
        <f>"2020"</f>
        <v>2020</v>
      </c>
      <c r="I4279" s="3" t="str">
        <f>""</f>
        <v/>
      </c>
    </row>
    <row r="4280" spans="1:9" x14ac:dyDescent="0.3">
      <c r="A4280" s="2">
        <v>4279</v>
      </c>
      <c r="B4280" s="4" t="s">
        <v>3</v>
      </c>
      <c r="C4280" s="3" t="str">
        <f>"TFC000004777"</f>
        <v>TFC000004777</v>
      </c>
      <c r="D4280" s="3" t="str">
        <f>"F800-22-0525-41"</f>
        <v>F800-22-0525-41</v>
      </c>
      <c r="E4280" s="3" t="str">
        <f>"Peppa and Suzy's Argument"</f>
        <v>Peppa and Suzy's Argument</v>
      </c>
      <c r="F4280" s="3" t="str">
        <f>"by Ladybird"</f>
        <v>by Ladybird</v>
      </c>
      <c r="G4280" s="3" t="str">
        <f>"Ladybird"</f>
        <v>Ladybird</v>
      </c>
      <c r="H4280" s="2" t="str">
        <f>"2020"</f>
        <v>2020</v>
      </c>
      <c r="I4280" s="3" t="str">
        <f>""</f>
        <v/>
      </c>
    </row>
    <row r="4281" spans="1:9" x14ac:dyDescent="0.3">
      <c r="A4281" s="2">
        <v>4280</v>
      </c>
      <c r="B4281" s="4" t="s">
        <v>3</v>
      </c>
      <c r="C4281" s="3" t="str">
        <f>"TFC000004778"</f>
        <v>TFC000004778</v>
      </c>
      <c r="D4281" s="3" t="str">
        <f>"F800-22-0525-42"</f>
        <v>F800-22-0525-42</v>
      </c>
      <c r="E4281" s="3" t="str">
        <f>"(The)Library"</f>
        <v>(The)Library</v>
      </c>
      <c r="F4281" s="3" t="str">
        <f>"by Ladybird"</f>
        <v>by Ladybird</v>
      </c>
      <c r="G4281" s="3" t="str">
        <f>"Ladybird"</f>
        <v>Ladybird</v>
      </c>
      <c r="H4281" s="2" t="str">
        <f>"2020"</f>
        <v>2020</v>
      </c>
      <c r="I4281" s="3" t="str">
        <f>""</f>
        <v/>
      </c>
    </row>
    <row r="4282" spans="1:9" x14ac:dyDescent="0.3">
      <c r="A4282" s="2">
        <v>4281</v>
      </c>
      <c r="B4282" s="4" t="s">
        <v>3</v>
      </c>
      <c r="C4282" s="3" t="str">
        <f>"TFC000004779"</f>
        <v>TFC000004779</v>
      </c>
      <c r="D4282" s="3" t="str">
        <f>"F800-22-0525-43"</f>
        <v>F800-22-0525-43</v>
      </c>
      <c r="E4282" s="3" t="str">
        <f>"Grandpa Pig's Lawnmower"</f>
        <v>Grandpa Pig's Lawnmower</v>
      </c>
      <c r="F4282" s="3" t="str">
        <f>"by Ladybird"</f>
        <v>by Ladybird</v>
      </c>
      <c r="G4282" s="3" t="str">
        <f>"Ladybird"</f>
        <v>Ladybird</v>
      </c>
      <c r="H4282" s="2" t="str">
        <f>"2020"</f>
        <v>2020</v>
      </c>
      <c r="I4282" s="3" t="str">
        <f>""</f>
        <v/>
      </c>
    </row>
    <row r="4283" spans="1:9" x14ac:dyDescent="0.3">
      <c r="A4283" s="2">
        <v>4282</v>
      </c>
      <c r="B4283" s="4" t="s">
        <v>3</v>
      </c>
      <c r="C4283" s="3" t="str">
        <f>"TFC000004780"</f>
        <v>TFC000004780</v>
      </c>
      <c r="D4283" s="3" t="str">
        <f>"F800-22-0525-44"</f>
        <v>F800-22-0525-44</v>
      </c>
      <c r="E4283" s="3" t="str">
        <f>"(The)Time Capsule"</f>
        <v>(The)Time Capsule</v>
      </c>
      <c r="F4283" s="3" t="str">
        <f>"by Ladybird"</f>
        <v>by Ladybird</v>
      </c>
      <c r="G4283" s="3" t="str">
        <f>"Ladybird"</f>
        <v>Ladybird</v>
      </c>
      <c r="H4283" s="2" t="str">
        <f>"2020"</f>
        <v>2020</v>
      </c>
      <c r="I4283" s="3" t="str">
        <f>""</f>
        <v/>
      </c>
    </row>
    <row r="4284" spans="1:9" x14ac:dyDescent="0.3">
      <c r="A4284" s="2">
        <v>4283</v>
      </c>
      <c r="B4284" s="4" t="s">
        <v>3</v>
      </c>
      <c r="C4284" s="3" t="str">
        <f>"TFC000004781"</f>
        <v>TFC000004781</v>
      </c>
      <c r="D4284" s="3" t="str">
        <f>"F800-22-0525-45"</f>
        <v>F800-22-0525-45</v>
      </c>
      <c r="E4284" s="3" t="str">
        <f>"(The)Ambulance"</f>
        <v>(The)Ambulance</v>
      </c>
      <c r="F4284" s="3" t="str">
        <f>"by Ladybird"</f>
        <v>by Ladybird</v>
      </c>
      <c r="G4284" s="3" t="str">
        <f>"Ladybird"</f>
        <v>Ladybird</v>
      </c>
      <c r="H4284" s="2" t="str">
        <f>"2020"</f>
        <v>2020</v>
      </c>
      <c r="I4284" s="3" t="str">
        <f>""</f>
        <v/>
      </c>
    </row>
    <row r="4285" spans="1:9" x14ac:dyDescent="0.3">
      <c r="A4285" s="2">
        <v>4284</v>
      </c>
      <c r="B4285" s="4" t="s">
        <v>3</v>
      </c>
      <c r="C4285" s="3" t="str">
        <f>"TFC000004782"</f>
        <v>TFC000004782</v>
      </c>
      <c r="D4285" s="3" t="str">
        <f>"F800-22-0525-46"</f>
        <v>F800-22-0525-46</v>
      </c>
      <c r="E4285" s="3" t="str">
        <f>"(The)Museum"</f>
        <v>(The)Museum</v>
      </c>
      <c r="F4285" s="3" t="str">
        <f>"by Ladybird"</f>
        <v>by Ladybird</v>
      </c>
      <c r="G4285" s="3" t="str">
        <f>"Ladybird"</f>
        <v>Ladybird</v>
      </c>
      <c r="H4285" s="2" t="str">
        <f>"2020"</f>
        <v>2020</v>
      </c>
      <c r="I4285" s="3" t="str">
        <f>""</f>
        <v/>
      </c>
    </row>
    <row r="4286" spans="1:9" x14ac:dyDescent="0.3">
      <c r="A4286" s="2">
        <v>4285</v>
      </c>
      <c r="B4286" s="4" t="s">
        <v>3</v>
      </c>
      <c r="C4286" s="3" t="str">
        <f>"TFC000004783"</f>
        <v>TFC000004783</v>
      </c>
      <c r="D4286" s="3" t="str">
        <f>"F800-22-0525-47"</f>
        <v>F800-22-0525-47</v>
      </c>
      <c r="E4286" s="3" t="str">
        <f>"Peppa's Tree House"</f>
        <v>Peppa's Tree House</v>
      </c>
      <c r="F4286" s="3" t="str">
        <f>"by Ladybird"</f>
        <v>by Ladybird</v>
      </c>
      <c r="G4286" s="3" t="str">
        <f>"Ladybird"</f>
        <v>Ladybird</v>
      </c>
      <c r="H4286" s="2" t="str">
        <f>"2020"</f>
        <v>2020</v>
      </c>
      <c r="I4286" s="3" t="str">
        <f>""</f>
        <v/>
      </c>
    </row>
    <row r="4287" spans="1:9" x14ac:dyDescent="0.3">
      <c r="A4287" s="2">
        <v>4286</v>
      </c>
      <c r="B4287" s="4" t="s">
        <v>3</v>
      </c>
      <c r="C4287" s="3" t="str">
        <f>"TFC000004784"</f>
        <v>TFC000004784</v>
      </c>
      <c r="D4287" s="3" t="str">
        <f>"F800-22-0525-48"</f>
        <v>F800-22-0525-48</v>
      </c>
      <c r="E4287" s="3" t="str">
        <f>"Grandpa Pig to the Rescue"</f>
        <v>Grandpa Pig to the Rescue</v>
      </c>
      <c r="F4287" s="3" t="str">
        <f>"by Ladybird"</f>
        <v>by Ladybird</v>
      </c>
      <c r="G4287" s="3" t="str">
        <f>"Ladybird"</f>
        <v>Ladybird</v>
      </c>
      <c r="H4287" s="2" t="str">
        <f>"2020"</f>
        <v>2020</v>
      </c>
      <c r="I4287" s="3" t="str">
        <f>""</f>
        <v/>
      </c>
    </row>
    <row r="4288" spans="1:9" x14ac:dyDescent="0.3">
      <c r="A4288" s="2">
        <v>4287</v>
      </c>
      <c r="B4288" s="4" t="s">
        <v>3</v>
      </c>
      <c r="C4288" s="3" t="str">
        <f>"TFC000004785"</f>
        <v>TFC000004785</v>
      </c>
      <c r="D4288" s="3" t="str">
        <f>"F800-22-0525-49"</f>
        <v>F800-22-0525-49</v>
      </c>
      <c r="E4288" s="3" t="str">
        <f>"Treasure Hunt"</f>
        <v>Treasure Hunt</v>
      </c>
      <c r="F4288" s="3" t="str">
        <f>"by Ladybird"</f>
        <v>by Ladybird</v>
      </c>
      <c r="G4288" s="3" t="str">
        <f>"Ladybird"</f>
        <v>Ladybird</v>
      </c>
      <c r="H4288" s="2" t="str">
        <f>"2020"</f>
        <v>2020</v>
      </c>
      <c r="I4288" s="3" t="str">
        <f>""</f>
        <v/>
      </c>
    </row>
    <row r="4289" spans="1:9" x14ac:dyDescent="0.3">
      <c r="A4289" s="2">
        <v>4288</v>
      </c>
      <c r="B4289" s="4" t="s">
        <v>3</v>
      </c>
      <c r="C4289" s="3" t="str">
        <f>"TFC000004786"</f>
        <v>TFC000004786</v>
      </c>
      <c r="D4289" s="3" t="str">
        <f>"F800-22-0525-50"</f>
        <v>F800-22-0525-50</v>
      </c>
      <c r="E4289" s="3" t="str">
        <f>"Windy Autumn Day"</f>
        <v>Windy Autumn Day</v>
      </c>
      <c r="F4289" s="3" t="str">
        <f>"by Ladybird"</f>
        <v>by Ladybird</v>
      </c>
      <c r="G4289" s="3" t="str">
        <f>"Ladybird"</f>
        <v>Ladybird</v>
      </c>
      <c r="H4289" s="2" t="str">
        <f>"2020"</f>
        <v>2020</v>
      </c>
      <c r="I4289" s="3" t="str">
        <f>""</f>
        <v/>
      </c>
    </row>
    <row r="4290" spans="1:9" x14ac:dyDescent="0.3">
      <c r="A4290" s="2">
        <v>4289</v>
      </c>
      <c r="B4290" s="4" t="s">
        <v>3</v>
      </c>
      <c r="C4290" s="3" t="str">
        <f>"TFC000004866"</f>
        <v>TFC000004866</v>
      </c>
      <c r="D4290" s="3" t="str">
        <f>"F800-22-0596"</f>
        <v>F800-22-0596</v>
      </c>
      <c r="E4290" s="3" t="str">
        <f>"Pokemon Creative Collection : Pokemon Discoverig Galar"</f>
        <v>Pokemon Creative Collection : Pokemon Discoverig Galar</v>
      </c>
      <c r="F4290" s="3" t="str">
        <f>"by Pokemon"</f>
        <v>by Pokemon</v>
      </c>
      <c r="G4290" s="3" t="str">
        <f>"HarperCollins Publishers"</f>
        <v>HarperCollins Publishers</v>
      </c>
      <c r="H4290" s="2" t="str">
        <f>"2022"</f>
        <v>2022</v>
      </c>
      <c r="I4290" s="2" t="s">
        <v>2</v>
      </c>
    </row>
    <row r="4291" spans="1:9" x14ac:dyDescent="0.3">
      <c r="A4291" s="2">
        <v>4290</v>
      </c>
      <c r="B4291" s="4" t="s">
        <v>3</v>
      </c>
      <c r="C4291" s="3" t="str">
        <f>"TFC000003458"</f>
        <v>TFC000003458</v>
      </c>
      <c r="D4291" s="3" t="str">
        <f>"F400-21-0938"</f>
        <v>F400-21-0938</v>
      </c>
      <c r="E4291" s="3" t="str">
        <f>"Thank you, Earth : a love letter to our planet"</f>
        <v>Thank you, Earth : a love letter to our planet</v>
      </c>
      <c r="F4291" s="3" t="str">
        <f>"by April Pulley Sayre"</f>
        <v>by April Pulley Sayre</v>
      </c>
      <c r="G4291" s="3" t="str">
        <f>"Greenwill Books:제이와이북스"</f>
        <v>Greenwill Books:제이와이북스</v>
      </c>
      <c r="H4291" s="2" t="str">
        <f>"2018"</f>
        <v>2018</v>
      </c>
      <c r="I4291" s="2" t="s">
        <v>2</v>
      </c>
    </row>
    <row r="4292" spans="1:9" x14ac:dyDescent="0.3">
      <c r="A4292" s="2">
        <v>4291</v>
      </c>
      <c r="B4292" s="4" t="s">
        <v>3</v>
      </c>
      <c r="C4292" s="3" t="str">
        <f>"TFC000003576"</f>
        <v>TFC000003576</v>
      </c>
      <c r="D4292" s="3" t="str">
        <f>"F800-21-0968"</f>
        <v>F800-21-0968</v>
      </c>
      <c r="E4292" s="3" t="str">
        <f>"Hey, poopie holders!"</f>
        <v>Hey, poopie holders!</v>
      </c>
      <c r="F4292" s="3" t="str">
        <f>"by Takako Saito ; translated by Danny D. Lee ; Esther S. Lee"</f>
        <v>by Takako Saito ; translated by Danny D. Lee ; Esther S. Lee</v>
      </c>
      <c r="G4292" s="3" t="str">
        <f>"Book Mecca:북메카"</f>
        <v>Book Mecca:북메카</v>
      </c>
      <c r="H4292" s="2" t="str">
        <f>"2020"</f>
        <v>2020</v>
      </c>
      <c r="I4292" s="2" t="s">
        <v>2</v>
      </c>
    </row>
    <row r="4293" spans="1:9" x14ac:dyDescent="0.3">
      <c r="A4293" s="2">
        <v>4292</v>
      </c>
      <c r="B4293" s="4" t="s">
        <v>3</v>
      </c>
      <c r="C4293" s="3" t="str">
        <f>"TFC000003459"</f>
        <v>TFC000003459</v>
      </c>
      <c r="D4293" s="3" t="str">
        <f>"F800-21-0952"</f>
        <v>F800-21-0952</v>
      </c>
      <c r="E4293" s="3" t="str">
        <f>"(The)go-away bird"</f>
        <v>(The)go-away bird</v>
      </c>
      <c r="F4293" s="3" t="str">
        <f>"by Julia Donaldson ; illustrated by Catherine Rayner"</f>
        <v>by Julia Donaldson ; illustrated by Catherine Rayner</v>
      </c>
      <c r="G4293" s="3" t="str">
        <f>"Macmillan Children's books(제이와이북스)"</f>
        <v>Macmillan Children's books(제이와이북스)</v>
      </c>
      <c r="H4293" s="2" t="str">
        <f>"2020"</f>
        <v>2020</v>
      </c>
      <c r="I4293" s="2" t="s">
        <v>2</v>
      </c>
    </row>
    <row r="4294" spans="1:9" x14ac:dyDescent="0.3">
      <c r="A4294" s="2">
        <v>4293</v>
      </c>
      <c r="B4294" s="4" t="s">
        <v>3</v>
      </c>
      <c r="C4294" s="3" t="str">
        <f>"TFC000003185"</f>
        <v>TFC000003185</v>
      </c>
      <c r="D4294" s="3" t="str">
        <f>"F800-21-0945"</f>
        <v>F800-21-0945</v>
      </c>
      <c r="E4294" s="3" t="str">
        <f>"Cityscape : where science and art meet"</f>
        <v>Cityscape : where science and art meet</v>
      </c>
      <c r="F4294" s="3" t="str">
        <f>"by April Pulley Sayre"</f>
        <v>by April Pulley Sayre</v>
      </c>
      <c r="G4294" s="3" t="str">
        <f>"Greenwillow Books:JYbooks"</f>
        <v>Greenwillow Books:JYbooks</v>
      </c>
      <c r="H4294" s="2" t="str">
        <f>"2020"</f>
        <v>2020</v>
      </c>
      <c r="I4294" s="2" t="s">
        <v>2</v>
      </c>
    </row>
    <row r="4295" spans="1:9" x14ac:dyDescent="0.3">
      <c r="A4295" s="2">
        <v>4294</v>
      </c>
      <c r="B4295" s="4" t="s">
        <v>3</v>
      </c>
      <c r="C4295" s="3" t="str">
        <f>"TFC000003186"</f>
        <v>TFC000003186</v>
      </c>
      <c r="D4295" s="3" t="str">
        <f>"F800-21-0946"</f>
        <v>F800-21-0946</v>
      </c>
      <c r="E4295" s="3" t="str">
        <f>"Bloom boom"</f>
        <v>Bloom boom</v>
      </c>
      <c r="F4295" s="3" t="str">
        <f>"by April Pulley Sayre"</f>
        <v>by April Pulley Sayre</v>
      </c>
      <c r="G4295" s="3" t="str">
        <f>"Beach Lane Books"</f>
        <v>Beach Lane Books</v>
      </c>
      <c r="H4295" s="2" t="str">
        <f>"2019"</f>
        <v>2019</v>
      </c>
      <c r="I4295" s="2" t="s">
        <v>2</v>
      </c>
    </row>
    <row r="4296" spans="1:9" x14ac:dyDescent="0.3">
      <c r="A4296" s="2">
        <v>4295</v>
      </c>
      <c r="B4296" s="4" t="s">
        <v>3</v>
      </c>
      <c r="C4296" s="3" t="str">
        <f>"TFC000003447"</f>
        <v>TFC000003447</v>
      </c>
      <c r="D4296" s="3" t="str">
        <f>"F800-21-0950"</f>
        <v>F800-21-0950</v>
      </c>
      <c r="E4296" s="3" t="str">
        <f>"Big box little box"</f>
        <v>Big box little box</v>
      </c>
      <c r="F4296" s="3" t="str">
        <f>"by Caryl Hart ; illustrated by Edward Underwood"</f>
        <v>by Caryl Hart ; illustrated by Edward Underwood</v>
      </c>
      <c r="G4296" s="3" t="str">
        <f>"Bloomsbury"</f>
        <v>Bloomsbury</v>
      </c>
      <c r="H4296" s="2" t="str">
        <f>"2017"</f>
        <v>2017</v>
      </c>
      <c r="I4296" s="2" t="s">
        <v>2</v>
      </c>
    </row>
    <row r="4297" spans="1:9" x14ac:dyDescent="0.3">
      <c r="A4297" s="2">
        <v>4296</v>
      </c>
      <c r="B4297" s="4" t="s">
        <v>3</v>
      </c>
      <c r="C4297" s="3" t="str">
        <f>"TFC000003728"</f>
        <v>TFC000003728</v>
      </c>
      <c r="D4297" s="3" t="str">
        <f>"F800-21-0983"</f>
        <v>F800-21-0983</v>
      </c>
      <c r="E4297" s="3" t="str">
        <f>"Animalphabet"</f>
        <v>Animalphabet</v>
      </c>
      <c r="F4297" s="3" t="str">
        <f>"dwritten by Julia Donaldson ; illustrated by Sharon King-Chai"</f>
        <v>dwritten by Julia Donaldson ; illustrated by Sharon King-Chai</v>
      </c>
      <c r="G4297" s="3" t="str">
        <f>"Two Hoots:제이와이북스"</f>
        <v>Two Hoots:제이와이북스</v>
      </c>
      <c r="H4297" s="2" t="str">
        <f>"2018"</f>
        <v>2018</v>
      </c>
      <c r="I4297" s="2" t="s">
        <v>2</v>
      </c>
    </row>
    <row r="4298" spans="1:9" x14ac:dyDescent="0.3">
      <c r="A4298" s="2">
        <v>4297</v>
      </c>
      <c r="B4298" s="4" t="s">
        <v>3</v>
      </c>
      <c r="C4298" s="3" t="str">
        <f>"TFC000003660"</f>
        <v>TFC000003660</v>
      </c>
      <c r="D4298" s="3" t="str">
        <f>"F800-21-0980"</f>
        <v>F800-21-0980</v>
      </c>
      <c r="E4298" s="3" t="str">
        <f>"These are animals"</f>
        <v>These are animals</v>
      </c>
      <c r="F4298" s="3" t="str">
        <f>"by Daniel Egneus"</f>
        <v>by Daniel Egneus</v>
      </c>
      <c r="G4298" s="3" t="str">
        <f>"Bloomsbury"</f>
        <v>Bloomsbury</v>
      </c>
      <c r="H4298" s="2" t="str">
        <f>"2019"</f>
        <v>2019</v>
      </c>
      <c r="I4298" s="2" t="s">
        <v>2</v>
      </c>
    </row>
    <row r="4299" spans="1:9" x14ac:dyDescent="0.3">
      <c r="A4299" s="2">
        <v>4298</v>
      </c>
      <c r="B4299" s="4" t="s">
        <v>3</v>
      </c>
      <c r="C4299" s="3" t="str">
        <f>"TFC000003659"</f>
        <v>TFC000003659</v>
      </c>
      <c r="D4299" s="3" t="str">
        <f>"F800-21-0979"</f>
        <v>F800-21-0979</v>
      </c>
      <c r="E4299" s="3" t="str">
        <f>"One of these is not like the others"</f>
        <v>One of these is not like the others</v>
      </c>
      <c r="F4299" s="3" t="str">
        <f>"by Barney Saltzberg"</f>
        <v>by Barney Saltzberg</v>
      </c>
      <c r="G4299" s="3" t="str">
        <f>"Neal porter book:Holiday house"</f>
        <v>Neal porter book:Holiday house</v>
      </c>
      <c r="H4299" s="2" t="str">
        <f>"2020"</f>
        <v>2020</v>
      </c>
      <c r="I4299" s="2" t="s">
        <v>2</v>
      </c>
    </row>
    <row r="4300" spans="1:9" x14ac:dyDescent="0.3">
      <c r="A4300" s="2">
        <v>4299</v>
      </c>
      <c r="B4300" s="4" t="s">
        <v>3</v>
      </c>
      <c r="C4300" s="3" t="str">
        <f>"TFC000003460"</f>
        <v>TFC000003460</v>
      </c>
      <c r="D4300" s="3" t="str">
        <f>"F800-21-0953"</f>
        <v>F800-21-0953</v>
      </c>
      <c r="E4300" s="3" t="str">
        <f>"Look"</f>
        <v>Look</v>
      </c>
      <c r="F4300" s="3" t="str">
        <f>"by Fiona Woodcock"</f>
        <v>by Fiona Woodcock</v>
      </c>
      <c r="G4300" s="3" t="str">
        <f>"Greenwillow Books(제이와이북스)"</f>
        <v>Greenwillow Books(제이와이북스)</v>
      </c>
      <c r="H4300" s="2" t="str">
        <f>"2019"</f>
        <v>2019</v>
      </c>
      <c r="I4300" s="2" t="s">
        <v>2</v>
      </c>
    </row>
    <row r="4301" spans="1:9" x14ac:dyDescent="0.3">
      <c r="A4301" s="2">
        <v>4300</v>
      </c>
      <c r="B4301" s="4" t="s">
        <v>3</v>
      </c>
      <c r="C4301" s="3" t="str">
        <f>"TFC000003575"</f>
        <v>TFC000003575</v>
      </c>
      <c r="D4301" s="3" t="str">
        <f>"F800-21-0967"</f>
        <v>F800-21-0967</v>
      </c>
      <c r="E4301" s="3" t="str">
        <f>"Hey, booger diggers!"</f>
        <v>Hey, booger diggers!</v>
      </c>
      <c r="F4301" s="3" t="str">
        <f>"by Takako Saito ; translated by Danny D. Lee ; Esther S. Lee"</f>
        <v>by Takako Saito ; translated by Danny D. Lee ; Esther S. Lee</v>
      </c>
      <c r="G4301" s="3" t="str">
        <f>"Book Mecca:북메카"</f>
        <v>Book Mecca:북메카</v>
      </c>
      <c r="H4301" s="2" t="str">
        <f>"2020"</f>
        <v>2020</v>
      </c>
      <c r="I4301" s="2" t="s">
        <v>2</v>
      </c>
    </row>
    <row r="4302" spans="1:9" x14ac:dyDescent="0.3">
      <c r="A4302" s="2">
        <v>4301</v>
      </c>
      <c r="B4302" s="4" t="s">
        <v>3</v>
      </c>
      <c r="C4302" s="3" t="str">
        <f>"TFC000004200"</f>
        <v>TFC000004200</v>
      </c>
      <c r="D4302" s="3" t="str">
        <f>"F800-22-0091"</f>
        <v>F800-22-0091</v>
      </c>
      <c r="E4302" s="3" t="str">
        <f>"Yoga adventure"</f>
        <v>Yoga adventure</v>
      </c>
      <c r="F4302" s="3" t="str">
        <f>"written by Jamaica Stevens, illustrated by JAMzRoo Kids"</f>
        <v>written by Jamaica Stevens, illustrated by JAMzRoo Kids</v>
      </c>
      <c r="G4302" s="3" t="str">
        <f>"JYbooks"</f>
        <v>JYbooks</v>
      </c>
      <c r="H4302" s="2" t="str">
        <f>"2021"</f>
        <v>2021</v>
      </c>
      <c r="I4302" s="2" t="s">
        <v>2</v>
      </c>
    </row>
    <row r="4303" spans="1:9" x14ac:dyDescent="0.3">
      <c r="A4303" s="2">
        <v>4302</v>
      </c>
      <c r="B4303" s="4" t="s">
        <v>3</v>
      </c>
      <c r="C4303" s="3" t="str">
        <f>"TFC000003450"</f>
        <v>TFC000003450</v>
      </c>
      <c r="D4303" s="3" t="str">
        <f>"F300-21-0928l"</f>
        <v>F300-21-0928l</v>
      </c>
      <c r="E4303" s="3" t="str">
        <f>"(A)little book about spring"</f>
        <v>(A)little book about spring</v>
      </c>
      <c r="F4303" s="3" t="str">
        <f>"illustrated by Leo Lionni, Julie Hamilton"</f>
        <v>illustrated by Leo Lionni, Julie Hamilton</v>
      </c>
      <c r="G4303" s="3" t="str">
        <f>"Random House Books for Young Readers"</f>
        <v>Random House Books for Young Readers</v>
      </c>
      <c r="H4303" s="2" t="str">
        <f>"2019"</f>
        <v>2019</v>
      </c>
      <c r="I4303" s="2" t="s">
        <v>2</v>
      </c>
    </row>
    <row r="4304" spans="1:9" x14ac:dyDescent="0.3">
      <c r="A4304" s="2">
        <v>4303</v>
      </c>
      <c r="B4304" s="4" t="s">
        <v>3</v>
      </c>
      <c r="C4304" s="3" t="str">
        <f>"TFC000003461"</f>
        <v>TFC000003461</v>
      </c>
      <c r="D4304" s="3" t="str">
        <f>"F800-21-0954"</f>
        <v>F800-21-0954</v>
      </c>
      <c r="E4304" s="3" t="str">
        <f>"Blue"</f>
        <v>Blue</v>
      </c>
      <c r="F4304" s="3" t="str">
        <f>"by Laura Vaccaro Seeger"</f>
        <v>by Laura Vaccaro Seeger</v>
      </c>
      <c r="G4304" s="3" t="str">
        <f>"Roaring Brook Press(제이와이북스)"</f>
        <v>Roaring Brook Press(제이와이북스)</v>
      </c>
      <c r="H4304" s="2" t="str">
        <f>"2018"</f>
        <v>2018</v>
      </c>
      <c r="I4304" s="2" t="s">
        <v>2</v>
      </c>
    </row>
    <row r="4305" spans="1:9" x14ac:dyDescent="0.3">
      <c r="A4305" s="2">
        <v>4304</v>
      </c>
      <c r="B4305" s="4" t="s">
        <v>3</v>
      </c>
      <c r="C4305" s="3" t="str">
        <f>"TFC000003896"</f>
        <v>TFC000003896</v>
      </c>
      <c r="D4305" s="3" t="str">
        <f>"F300-21-0932"</f>
        <v>F300-21-0932</v>
      </c>
      <c r="E4305" s="3" t="str">
        <f>"One lonely fish"</f>
        <v>One lonely fish</v>
      </c>
      <c r="F4305" s="3" t="str">
        <f>"by Thomas Flintham, illustrated by Andy Mansfield"</f>
        <v>by Thomas Flintham, illustrated by Andy Mansfield</v>
      </c>
      <c r="G4305" s="3" t="str">
        <f>"Templar Books"</f>
        <v>Templar Books</v>
      </c>
      <c r="H4305" s="2" t="str">
        <f>"2021"</f>
        <v>2021</v>
      </c>
      <c r="I4305" s="2" t="s">
        <v>2</v>
      </c>
    </row>
    <row r="4306" spans="1:9" x14ac:dyDescent="0.3">
      <c r="A4306" s="2">
        <v>4305</v>
      </c>
      <c r="B4306" s="4" t="s">
        <v>3</v>
      </c>
      <c r="C4306" s="3" t="str">
        <f>"TFC000004326"</f>
        <v>TFC000004326</v>
      </c>
      <c r="D4306" s="3" t="str">
        <f>"F800-22-0135"</f>
        <v>F800-22-0135</v>
      </c>
      <c r="E4306" s="3" t="str">
        <f>"One shoe two shoes"</f>
        <v>One shoe two shoes</v>
      </c>
      <c r="F4306" s="3" t="str">
        <f>"by Caryl Hart, illustrated by Underwood Edward"</f>
        <v>by Caryl Hart, illustrated by Underwood Edward</v>
      </c>
      <c r="G4306" s="3" t="str">
        <f>"Bloomsbury"</f>
        <v>Bloomsbury</v>
      </c>
      <c r="H4306" s="2" t="str">
        <f>"2019"</f>
        <v>2019</v>
      </c>
      <c r="I4306" s="2" t="s">
        <v>2</v>
      </c>
    </row>
    <row r="4307" spans="1:9" x14ac:dyDescent="0.3">
      <c r="A4307" s="2">
        <v>4306</v>
      </c>
      <c r="B4307" s="4" t="s">
        <v>3</v>
      </c>
      <c r="C4307" s="3" t="str">
        <f>"TFC000004315"</f>
        <v>TFC000004315</v>
      </c>
      <c r="D4307" s="3" t="str">
        <f>"F800-22-0120"</f>
        <v>F800-22-0120</v>
      </c>
      <c r="E4307" s="3" t="str">
        <f>"Five Minutes"</f>
        <v>Five Minutes</v>
      </c>
      <c r="F4307" s="3" t="str">
        <f>"by Audrey Vernick, Liz Garton Scanlon, illustrated by Olivier Tallec"</f>
        <v>by Audrey Vernick, Liz Garton Scanlon, illustrated by Olivier Tallec</v>
      </c>
      <c r="G4307" s="3" t="str">
        <f>"Two Ponds"</f>
        <v>Two Ponds</v>
      </c>
      <c r="H4307" s="2" t="str">
        <f>"2021"</f>
        <v>2021</v>
      </c>
      <c r="I4307" s="2" t="s">
        <v>2</v>
      </c>
    </row>
    <row r="4308" spans="1:9" x14ac:dyDescent="0.3">
      <c r="A4308" s="2">
        <v>4307</v>
      </c>
      <c r="B4308" s="4" t="s">
        <v>3</v>
      </c>
      <c r="C4308" s="3" t="str">
        <f>"TFC000003935"</f>
        <v>TFC000003935</v>
      </c>
      <c r="D4308" s="3" t="str">
        <f>"F800-21-1004"</f>
        <v>F800-21-1004</v>
      </c>
      <c r="E4308" s="3" t="str">
        <f>"Lunchtime"</f>
        <v>Lunchtime</v>
      </c>
      <c r="F4308" s="3" t="str">
        <f>"by Rebecca Cobb"</f>
        <v>by Rebecca Cobb</v>
      </c>
      <c r="G4308" s="3" t="str">
        <f>"Macmillan Children's Books"</f>
        <v>Macmillan Children's Books</v>
      </c>
      <c r="H4308" s="2" t="str">
        <f>"2020"</f>
        <v>2020</v>
      </c>
      <c r="I4308" s="2" t="s">
        <v>2</v>
      </c>
    </row>
    <row r="4309" spans="1:9" x14ac:dyDescent="0.3">
      <c r="A4309" s="2">
        <v>4308</v>
      </c>
      <c r="B4309" s="4" t="s">
        <v>3</v>
      </c>
      <c r="C4309" s="3" t="str">
        <f>"TFC000003950"</f>
        <v>TFC000003950</v>
      </c>
      <c r="D4309" s="3" t="str">
        <f>"F800-21-1008"</f>
        <v>F800-21-1008</v>
      </c>
      <c r="E4309" s="3" t="str">
        <f>"Ernest the Elephant"</f>
        <v>Ernest the Elephant</v>
      </c>
      <c r="F4309" s="3" t="str">
        <f>"by Anthony Browne"</f>
        <v>by Anthony Browne</v>
      </c>
      <c r="G4309" s="3" t="str">
        <f>"JYbooks"</f>
        <v>JYbooks</v>
      </c>
      <c r="H4309" s="2" t="str">
        <f>"2021"</f>
        <v>2021</v>
      </c>
      <c r="I4309" s="2" t="s">
        <v>2</v>
      </c>
    </row>
    <row r="4310" spans="1:9" x14ac:dyDescent="0.3">
      <c r="A4310" s="2">
        <v>4309</v>
      </c>
      <c r="B4310" s="4" t="s">
        <v>3</v>
      </c>
      <c r="C4310" s="3" t="str">
        <f>"TFC000003934"</f>
        <v>TFC000003934</v>
      </c>
      <c r="D4310" s="3" t="str">
        <f>"F800-21-1003"</f>
        <v>F800-21-1003</v>
      </c>
      <c r="E4310" s="3" t="str">
        <f>"Handa's Noisy Night"</f>
        <v>Handa's Noisy Night</v>
      </c>
      <c r="F4310" s="3" t="str">
        <f>"by Eileen Browne"</f>
        <v>by Eileen Browne</v>
      </c>
      <c r="G4310" s="3" t="str">
        <f>"Walker Books Ltd"</f>
        <v>Walker Books Ltd</v>
      </c>
      <c r="H4310" s="2" t="str">
        <f>"2020"</f>
        <v>2020</v>
      </c>
      <c r="I4310" s="2" t="s">
        <v>2</v>
      </c>
    </row>
    <row r="4311" spans="1:9" x14ac:dyDescent="0.3">
      <c r="A4311" s="2">
        <v>4310</v>
      </c>
      <c r="B4311" s="4" t="s">
        <v>3</v>
      </c>
      <c r="C4311" s="3" t="str">
        <f>"TFC000003851"</f>
        <v>TFC000003851</v>
      </c>
      <c r="D4311" s="3" t="str">
        <f>"F800-21-0994"</f>
        <v>F800-21-0994</v>
      </c>
      <c r="E4311" s="3" t="str">
        <f>"Isadora Moon goes to a wedding"</f>
        <v>Isadora Moon goes to a wedding</v>
      </c>
      <c r="F4311" s="3" t="str">
        <f>"by Harriet Muncaster"</f>
        <v>by Harriet Muncaster</v>
      </c>
      <c r="G4311" s="3" t="str">
        <f>"Oxford University press"</f>
        <v>Oxford University press</v>
      </c>
      <c r="H4311" s="2" t="str">
        <f>"2020"</f>
        <v>2020</v>
      </c>
      <c r="I4311" s="3" t="str">
        <f>""</f>
        <v/>
      </c>
    </row>
    <row r="4312" spans="1:9" x14ac:dyDescent="0.3">
      <c r="A4312" s="2">
        <v>4311</v>
      </c>
      <c r="B4312" s="4" t="s">
        <v>3</v>
      </c>
      <c r="C4312" s="3" t="str">
        <f>"TFC000003803"</f>
        <v>TFC000003803</v>
      </c>
      <c r="D4312" s="3" t="str">
        <f>"F800-21-0988"</f>
        <v>F800-21-0988</v>
      </c>
      <c r="E4312" s="3" t="str">
        <f>"(The)Ivies"</f>
        <v>(The)Ivies</v>
      </c>
      <c r="F4312" s="3" t="str">
        <f>"by Alexa Donne"</f>
        <v>by Alexa Donne</v>
      </c>
      <c r="G4312" s="3" t="str">
        <f>"Crown"</f>
        <v>Crown</v>
      </c>
      <c r="H4312" s="2" t="str">
        <f>"2021"</f>
        <v>2021</v>
      </c>
      <c r="I4312" s="3" t="str">
        <f>""</f>
        <v/>
      </c>
    </row>
    <row r="4313" spans="1:9" x14ac:dyDescent="0.3">
      <c r="A4313" s="2">
        <v>4312</v>
      </c>
      <c r="B4313" s="4" t="s">
        <v>3</v>
      </c>
      <c r="C4313" s="3" t="str">
        <f>"TFC000003710"</f>
        <v>TFC000003710</v>
      </c>
      <c r="D4313" s="3" t="str">
        <f>"F800-21-0981"</f>
        <v>F800-21-0981</v>
      </c>
      <c r="E4313" s="3" t="str">
        <f>"(The)world's worst children"</f>
        <v>(The)world's worst children</v>
      </c>
      <c r="F4313" s="3" t="str">
        <f>"by David Walliams ; illustrated in glorious colour by Tony Ross"</f>
        <v>by David Walliams ; illustrated in glorious colour by Tony Ross</v>
      </c>
      <c r="G4313" s="3" t="str">
        <f>"HarperCollins Children's Books"</f>
        <v>HarperCollins Children's Books</v>
      </c>
      <c r="H4313" s="2" t="str">
        <f>"2017"</f>
        <v>2017</v>
      </c>
      <c r="I4313" s="3" t="str">
        <f>""</f>
        <v/>
      </c>
    </row>
    <row r="4314" spans="1:9" x14ac:dyDescent="0.3">
      <c r="A4314" s="2">
        <v>4313</v>
      </c>
      <c r="B4314" s="4" t="s">
        <v>3</v>
      </c>
      <c r="C4314" s="3" t="str">
        <f>"TFC000001720"</f>
        <v>TFC000001720</v>
      </c>
      <c r="D4314" s="3" t="str">
        <f>"F800-20-1906"</f>
        <v>F800-20-1906</v>
      </c>
      <c r="E4314" s="3" t="str">
        <f>"Hey Grandude!"</f>
        <v>Hey Grandude!</v>
      </c>
      <c r="F4314" s="3" t="str">
        <f>"written by Paul McCartney ; illustrated by Kathryn Durst"</f>
        <v>written by Paul McCartney ; illustrated by Kathryn Durst</v>
      </c>
      <c r="G4314" s="3" t="str">
        <f>"Random House"</f>
        <v>Random House</v>
      </c>
      <c r="H4314" s="2" t="str">
        <f>"2019"</f>
        <v>2019</v>
      </c>
      <c r="I4314" s="3" t="str">
        <f>""</f>
        <v/>
      </c>
    </row>
    <row r="4315" spans="1:9" x14ac:dyDescent="0.3">
      <c r="A4315" s="2">
        <v>4314</v>
      </c>
      <c r="B4315" s="4" t="s">
        <v>3</v>
      </c>
      <c r="C4315" s="3" t="str">
        <f>"TFC000003124"</f>
        <v>TFC000003124</v>
      </c>
      <c r="D4315" s="3" t="str">
        <f>"F800-22-0117"</f>
        <v>F800-22-0117</v>
      </c>
      <c r="E4315" s="3" t="str">
        <f>"Cloud Bread"</f>
        <v>Cloud Bread</v>
      </c>
      <c r="F4315" s="3" t="str">
        <f>"by Baek hee na"</f>
        <v>by Baek hee na</v>
      </c>
      <c r="G4315" s="3" t="str">
        <f>"한솔수북"</f>
        <v>한솔수북</v>
      </c>
      <c r="H4315" s="2" t="str">
        <f>"2020"</f>
        <v>2020</v>
      </c>
      <c r="I4315" s="3" t="str">
        <f>""</f>
        <v/>
      </c>
    </row>
    <row r="4316" spans="1:9" x14ac:dyDescent="0.3">
      <c r="A4316" s="2">
        <v>4315</v>
      </c>
      <c r="B4316" s="4" t="s">
        <v>3</v>
      </c>
      <c r="C4316" s="3" t="str">
        <f>"TFC000004299"</f>
        <v>TFC000004299</v>
      </c>
      <c r="D4316" s="3" t="str">
        <f>"F300-22-0088"</f>
        <v>F300-22-0088</v>
      </c>
      <c r="E4316" s="3" t="str">
        <f>"Permanent record : how one man exposed the truth about government spying and digital security"</f>
        <v>Permanent record : how one man exposed the truth about government spying and digital security</v>
      </c>
      <c r="F4316" s="3" t="str">
        <f>"Edward Snowden"</f>
        <v>Edward Snowden</v>
      </c>
      <c r="G4316" s="3" t="str">
        <f>"Henry Holt and Company"</f>
        <v>Henry Holt and Company</v>
      </c>
      <c r="H4316" s="2" t="str">
        <f>"2021"</f>
        <v>2021</v>
      </c>
      <c r="I4316" s="3" t="str">
        <f>""</f>
        <v/>
      </c>
    </row>
    <row r="4317" spans="1:9" x14ac:dyDescent="0.3">
      <c r="A4317" s="2">
        <v>4316</v>
      </c>
      <c r="B4317" s="4" t="s">
        <v>3</v>
      </c>
      <c r="C4317" s="3" t="str">
        <f>"TFC000004297"</f>
        <v>TFC000004297</v>
      </c>
      <c r="D4317" s="3" t="str">
        <f>"F800-22-0102"</f>
        <v>F800-22-0102</v>
      </c>
      <c r="E4317" s="3" t="str">
        <f>"Our girl"</f>
        <v>Our girl</v>
      </c>
      <c r="F4317" s="3" t="str">
        <f>"Anthony Browne"</f>
        <v>Anthony Browne</v>
      </c>
      <c r="G4317" s="3" t="str">
        <f>"Picture Corgi"</f>
        <v>Picture Corgi</v>
      </c>
      <c r="H4317" s="2" t="str">
        <f>"2021"</f>
        <v>2021</v>
      </c>
      <c r="I4317" s="3" t="str">
        <f>""</f>
        <v/>
      </c>
    </row>
    <row r="4318" spans="1:9" x14ac:dyDescent="0.3">
      <c r="A4318" s="2">
        <v>4317</v>
      </c>
      <c r="B4318" s="4" t="s">
        <v>3</v>
      </c>
      <c r="C4318" s="3" t="str">
        <f>"TFC000003184"</f>
        <v>TFC000003184</v>
      </c>
      <c r="D4318" s="3" t="str">
        <f>"F800-21-0944"</f>
        <v>F800-21-0944</v>
      </c>
      <c r="E4318" s="3" t="str">
        <f>"(The)tiny baker"</f>
        <v>(The)tiny baker</v>
      </c>
      <c r="F4318" s="3" t="str">
        <f>"written by Hayley Barrett ; illustrated by Alison Jay"</f>
        <v>written by Hayley Barrett ; illustrated by Alison Jay</v>
      </c>
      <c r="G4318" s="3" t="str">
        <f>"Barefoot Books"</f>
        <v>Barefoot Books</v>
      </c>
      <c r="H4318" s="2" t="str">
        <f>"2020"</f>
        <v>2020</v>
      </c>
      <c r="I4318" s="3" t="str">
        <f>""</f>
        <v/>
      </c>
    </row>
    <row r="4319" spans="1:9" x14ac:dyDescent="0.3">
      <c r="A4319" s="2">
        <v>4318</v>
      </c>
      <c r="B4319" s="4" t="s">
        <v>3</v>
      </c>
      <c r="C4319" s="3" t="str">
        <f>"TFC000003187"</f>
        <v>TFC000003187</v>
      </c>
      <c r="D4319" s="3" t="str">
        <f>"F800-21-0947"</f>
        <v>F800-21-0947</v>
      </c>
      <c r="E4319" s="3" t="str">
        <f>"(The)cat man of Aleppo"</f>
        <v>(The)cat man of Aleppo</v>
      </c>
      <c r="F4319" s="3" t="str">
        <f>"Irene Latham, Karim Shamsi-Basha, illustrated by Yuko Shimizu"</f>
        <v>Irene Latham, Karim Shamsi-Basha, illustrated by Yuko Shimizu</v>
      </c>
      <c r="G4319" s="3" t="str">
        <f>"G.P. Putnam's Sons"</f>
        <v>G.P. Putnam's Sons</v>
      </c>
      <c r="H4319" s="2" t="str">
        <f>"2020"</f>
        <v>2020</v>
      </c>
      <c r="I4319" s="3" t="str">
        <f>""</f>
        <v/>
      </c>
    </row>
    <row r="4320" spans="1:9" x14ac:dyDescent="0.3">
      <c r="A4320" s="2">
        <v>4319</v>
      </c>
      <c r="B4320" s="4" t="s">
        <v>3</v>
      </c>
      <c r="C4320" s="3" t="str">
        <f>"TFC000003190"</f>
        <v>TFC000003190</v>
      </c>
      <c r="D4320" s="3" t="str">
        <f>"F800-21-0948"</f>
        <v>F800-21-0948</v>
      </c>
      <c r="E4320" s="3" t="str">
        <f>"I need a new bum!"</f>
        <v>I need a new bum!</v>
      </c>
      <c r="F4320" s="3" t="str">
        <f>"by Dawn McMillan ; illustrated by Ross Kinnaird"</f>
        <v>by Dawn McMillan ; illustrated by Ross Kinnaird</v>
      </c>
      <c r="G4320" s="3" t="str">
        <f>"Scholastic"</f>
        <v>Scholastic</v>
      </c>
      <c r="H4320" s="2" t="str">
        <f>"2018"</f>
        <v>2018</v>
      </c>
      <c r="I4320" s="3" t="str">
        <f>""</f>
        <v/>
      </c>
    </row>
    <row r="4321" spans="1:9" x14ac:dyDescent="0.3">
      <c r="A4321" s="2">
        <v>4320</v>
      </c>
      <c r="B4321" s="4" t="s">
        <v>3</v>
      </c>
      <c r="C4321" s="3" t="str">
        <f>"TFC000003191"</f>
        <v>TFC000003191</v>
      </c>
      <c r="D4321" s="3" t="str">
        <f>"F800-21-0949"</f>
        <v>F800-21-0949</v>
      </c>
      <c r="E4321" s="3" t="str">
        <f>"I broke my butt! : the cheeky sequel to the international bestseller i need a new butt!"</f>
        <v>I broke my butt! : the cheeky sequel to the international bestseller i need a new butt!</v>
      </c>
      <c r="F4321" s="3" t="str">
        <f>"by Dawn McMillan ; illustrated by Ross Kinnaird"</f>
        <v>by Dawn McMillan ; illustrated by Ross Kinnaird</v>
      </c>
      <c r="G4321" s="3" t="str">
        <f>"Dover Publications"</f>
        <v>Dover Publications</v>
      </c>
      <c r="H4321" s="2" t="str">
        <f>"2019"</f>
        <v>2019</v>
      </c>
      <c r="I4321" s="3" t="str">
        <f>""</f>
        <v/>
      </c>
    </row>
    <row r="4322" spans="1:9" x14ac:dyDescent="0.3">
      <c r="A4322" s="2">
        <v>4321</v>
      </c>
      <c r="B4322" s="4" t="s">
        <v>3</v>
      </c>
      <c r="C4322" s="3" t="str">
        <f>"TFC000003435"</f>
        <v>TFC000003435</v>
      </c>
      <c r="D4322" s="3" t="str">
        <f>"F700-21-0942"</f>
        <v>F700-21-0942</v>
      </c>
      <c r="E4322" s="3" t="str">
        <f>"Halloween ABC"</f>
        <v>Halloween ABC</v>
      </c>
      <c r="F4322" s="3" t="str">
        <f>"by Sarah Albee ; illustrated by Julia Woolf"</f>
        <v>by Sarah Albee ; illustrated by Julia Woolf</v>
      </c>
      <c r="G4322" s="3" t="str">
        <f>"Golden Books"</f>
        <v>Golden Books</v>
      </c>
      <c r="H4322" s="2" t="str">
        <f>"2009"</f>
        <v>2009</v>
      </c>
      <c r="I4322" s="3" t="str">
        <f>""</f>
        <v/>
      </c>
    </row>
    <row r="4323" spans="1:9" x14ac:dyDescent="0.3">
      <c r="A4323" s="2">
        <v>4322</v>
      </c>
      <c r="B4323" s="4" t="s">
        <v>3</v>
      </c>
      <c r="C4323" s="3" t="str">
        <f>"TFC000003448"</f>
        <v>TFC000003448</v>
      </c>
      <c r="D4323" s="3" t="str">
        <f>"F400-21-0937"</f>
        <v>F400-21-0937</v>
      </c>
      <c r="E4323" s="3" t="str">
        <f>"My first book about DNA"</f>
        <v>My first book about DNA</v>
      </c>
      <c r="F4323" s="3" t="str">
        <f>"written and illustrated by Rick Riordan"</f>
        <v>written and illustrated by Rick Riordan</v>
      </c>
      <c r="G4323" s="3" t="str">
        <f>"Xlibris"</f>
        <v>Xlibris</v>
      </c>
      <c r="H4323" s="2" t="str">
        <f>"2002"</f>
        <v>2002</v>
      </c>
      <c r="I4323" s="3" t="str">
        <f>""</f>
        <v/>
      </c>
    </row>
    <row r="4324" spans="1:9" x14ac:dyDescent="0.3">
      <c r="A4324" s="2">
        <v>4323</v>
      </c>
      <c r="B4324" s="4" t="s">
        <v>3</v>
      </c>
      <c r="C4324" s="3" t="str">
        <f>"TFC000003468"</f>
        <v>TFC000003468</v>
      </c>
      <c r="D4324" s="3" t="str">
        <f>"F800-21-0955"</f>
        <v>F800-21-0955</v>
      </c>
      <c r="E4324" s="3" t="str">
        <f>"Something fishy"</f>
        <v>Something fishy</v>
      </c>
      <c r="F4324" s="3" t="str">
        <f>"by Polly Dunbar"</f>
        <v>by Polly Dunbar</v>
      </c>
      <c r="G4324" s="3" t="str">
        <f>"Two Hoots"</f>
        <v>Two Hoots</v>
      </c>
      <c r="H4324" s="2" t="str">
        <f>"2019"</f>
        <v>2019</v>
      </c>
      <c r="I4324" s="3" t="str">
        <f>""</f>
        <v/>
      </c>
    </row>
    <row r="4325" spans="1:9" x14ac:dyDescent="0.3">
      <c r="A4325" s="2">
        <v>4324</v>
      </c>
      <c r="B4325" s="4" t="s">
        <v>3</v>
      </c>
      <c r="C4325" s="3" t="str">
        <f>"TFC000003492"</f>
        <v>TFC000003492</v>
      </c>
      <c r="D4325" s="3" t="str">
        <f>"F800-21-0956"</f>
        <v>F800-21-0956</v>
      </c>
      <c r="E4325" s="3" t="str">
        <f>"All the world"</f>
        <v>All the world</v>
      </c>
      <c r="F4325" s="3" t="str">
        <f>"written by Liz Garton Scanlon ; illustrated by Marla Frazee"</f>
        <v>written by Liz Garton Scanlon ; illustrated by Marla Frazee</v>
      </c>
      <c r="G4325" s="3" t="str">
        <f>"Little Simon"</f>
        <v>Little Simon</v>
      </c>
      <c r="H4325" s="2" t="str">
        <f>"2015"</f>
        <v>2015</v>
      </c>
      <c r="I4325" s="3" t="str">
        <f>""</f>
        <v/>
      </c>
    </row>
    <row r="4326" spans="1:9" x14ac:dyDescent="0.3">
      <c r="A4326" s="2">
        <v>4325</v>
      </c>
      <c r="B4326" s="4" t="s">
        <v>3</v>
      </c>
      <c r="C4326" s="3" t="str">
        <f>"TFC000003493"</f>
        <v>TFC000003493</v>
      </c>
      <c r="D4326" s="3" t="str">
        <f>"F800-21-0957"</f>
        <v>F800-21-0957</v>
      </c>
      <c r="E4326" s="3" t="str">
        <f>"(A)ball for daisy"</f>
        <v>(A)ball for daisy</v>
      </c>
      <c r="F4326" s="3" t="str">
        <f>"by Christopher Raschka"</f>
        <v>by Christopher Raschka</v>
      </c>
      <c r="G4326" s="3" t="str">
        <f>"Schwartz &amp; Wade Books"</f>
        <v>Schwartz &amp; Wade Books</v>
      </c>
      <c r="H4326" s="2" t="str">
        <f>"2015"</f>
        <v>2015</v>
      </c>
      <c r="I4326" s="3" t="str">
        <f>""</f>
        <v/>
      </c>
    </row>
    <row r="4327" spans="1:9" x14ac:dyDescent="0.3">
      <c r="A4327" s="2">
        <v>4326</v>
      </c>
      <c r="B4327" s="4" t="s">
        <v>3</v>
      </c>
      <c r="C4327" s="3" t="str">
        <f>"TFC000003497"</f>
        <v>TFC000003497</v>
      </c>
      <c r="D4327" s="3" t="str">
        <f>"F300-21-0929"</f>
        <v>F300-21-0929</v>
      </c>
      <c r="E4327" s="3" t="str">
        <f>"First the egg"</f>
        <v>First the egg</v>
      </c>
      <c r="F4327" s="3" t="str">
        <f>"by Laura Vaccaro Seeger"</f>
        <v>by Laura Vaccaro Seeger</v>
      </c>
      <c r="G4327" s="3" t="str">
        <f>"Roaring Brook Press"</f>
        <v>Roaring Brook Press</v>
      </c>
      <c r="H4327" s="2" t="str">
        <f>"[2007]"</f>
        <v>[2007]</v>
      </c>
      <c r="I4327" s="3" t="str">
        <f>""</f>
        <v/>
      </c>
    </row>
    <row r="4328" spans="1:9" x14ac:dyDescent="0.3">
      <c r="A4328" s="2">
        <v>4327</v>
      </c>
      <c r="B4328" s="4" t="s">
        <v>3</v>
      </c>
      <c r="C4328" s="3" t="str">
        <f>"TFC000003498"</f>
        <v>TFC000003498</v>
      </c>
      <c r="D4328" s="3" t="str">
        <f>"F800-21-0958"</f>
        <v>F800-21-0958</v>
      </c>
      <c r="E4328" s="3" t="str">
        <f>"Journey"</f>
        <v>Journey</v>
      </c>
      <c r="F4328" s="3" t="str">
        <f>"by Aaron Becker"</f>
        <v>by Aaron Becker</v>
      </c>
      <c r="G4328" s="3" t="str">
        <f>"Walker Books"</f>
        <v>Walker Books</v>
      </c>
      <c r="H4328" s="2" t="str">
        <f>"2014"</f>
        <v>2014</v>
      </c>
      <c r="I4328" s="3" t="str">
        <f>""</f>
        <v/>
      </c>
    </row>
    <row r="4329" spans="1:9" x14ac:dyDescent="0.3">
      <c r="A4329" s="2">
        <v>4328</v>
      </c>
      <c r="B4329" s="4" t="s">
        <v>3</v>
      </c>
      <c r="C4329" s="3" t="str">
        <f>"TFC000003511"</f>
        <v>TFC000003511</v>
      </c>
      <c r="D4329" s="3" t="str">
        <f>"F800-21-0959"</f>
        <v>F800-21-0959</v>
      </c>
      <c r="E4329" s="3" t="str">
        <f>"I funny : middle school"</f>
        <v>I funny : middle school</v>
      </c>
      <c r="F4329" s="3" t="str">
        <f>"by James Patterson, Chros Grabenstein ; illustrated by Laura Park"</f>
        <v>by James Patterson, Chros Grabenstein ; illustrated by Laura Park</v>
      </c>
      <c r="G4329" s="3" t="str">
        <f>"Young Arrow:Random house"</f>
        <v>Young Arrow:Random house</v>
      </c>
      <c r="H4329" s="2" t="str">
        <f>"2012"</f>
        <v>2012</v>
      </c>
      <c r="I4329" s="3" t="str">
        <f>""</f>
        <v/>
      </c>
    </row>
    <row r="4330" spans="1:9" x14ac:dyDescent="0.3">
      <c r="A4330" s="2">
        <v>4329</v>
      </c>
      <c r="B4330" s="4" t="s">
        <v>3</v>
      </c>
      <c r="C4330" s="3" t="str">
        <f>"TFC000003512"</f>
        <v>TFC000003512</v>
      </c>
      <c r="D4330" s="3" t="str">
        <f>"F400-21-0939"</f>
        <v>F400-21-0939</v>
      </c>
      <c r="E4330" s="3" t="str">
        <f>"What if? : serious scientific answers to absurd hypothetical questions"</f>
        <v>What if? : serious scientific answers to absurd hypothetical questions</v>
      </c>
      <c r="F4330" s="3" t="str">
        <f>"by Randall Munroe"</f>
        <v>by Randall Munroe</v>
      </c>
      <c r="G4330" s="3" t="str">
        <f>"Houghton Mifflin Harcourt"</f>
        <v>Houghton Mifflin Harcourt</v>
      </c>
      <c r="H4330" s="2" t="str">
        <f>"2014"</f>
        <v>2014</v>
      </c>
      <c r="I4330" s="3" t="str">
        <f>""</f>
        <v/>
      </c>
    </row>
    <row r="4331" spans="1:9" x14ac:dyDescent="0.3">
      <c r="A4331" s="2">
        <v>4330</v>
      </c>
      <c r="B4331" s="4" t="s">
        <v>3</v>
      </c>
      <c r="C4331" s="3" t="str">
        <f>"TFC000003513"</f>
        <v>TFC000003513</v>
      </c>
      <c r="D4331" s="3" t="str">
        <f>"F800-21-0960"</f>
        <v>F800-21-0960</v>
      </c>
      <c r="E4331" s="3" t="str">
        <f>"Isadora Moon gets in trouble"</f>
        <v>Isadora Moon gets in trouble</v>
      </c>
      <c r="F4331" s="3" t="str">
        <f>"by Harriet Muncaster"</f>
        <v>by Harriet Muncaster</v>
      </c>
      <c r="G4331" s="3" t="str">
        <f>"Random House"</f>
        <v>Random House</v>
      </c>
      <c r="H4331" s="2" t="str">
        <f>"2020"</f>
        <v>2020</v>
      </c>
      <c r="I4331" s="3" t="str">
        <f>""</f>
        <v/>
      </c>
    </row>
    <row r="4332" spans="1:9" x14ac:dyDescent="0.3">
      <c r="A4332" s="2">
        <v>4331</v>
      </c>
      <c r="B4332" s="4" t="s">
        <v>3</v>
      </c>
      <c r="C4332" s="3" t="str">
        <f>"TFC000003516"</f>
        <v>TFC000003516</v>
      </c>
      <c r="D4332" s="3" t="str">
        <f>"F800-21-0961"</f>
        <v>F800-21-0961</v>
      </c>
      <c r="E4332" s="3" t="str">
        <f>"Isadora Moon puts on a show"</f>
        <v>Isadora Moon puts on a show</v>
      </c>
      <c r="F4332" s="3" t="str">
        <f>"by Harriet Muncaster"</f>
        <v>by Harriet Muncaster</v>
      </c>
      <c r="G4332" s="3" t="str">
        <f>"Oxford University Press"</f>
        <v>Oxford University Press</v>
      </c>
      <c r="H4332" s="2" t="str">
        <f>"2020"</f>
        <v>2020</v>
      </c>
      <c r="I4332" s="3" t="str">
        <f>""</f>
        <v/>
      </c>
    </row>
    <row r="4333" spans="1:9" x14ac:dyDescent="0.3">
      <c r="A4333" s="2">
        <v>4332</v>
      </c>
      <c r="B4333" s="4" t="s">
        <v>3</v>
      </c>
      <c r="C4333" s="3" t="str">
        <f>"TFC000003522"</f>
        <v>TFC000003522</v>
      </c>
      <c r="D4333" s="3" t="str">
        <f>"F800-21-0962"</f>
        <v>F800-21-0962</v>
      </c>
      <c r="E4333" s="3" t="str">
        <f>"Isadora Moon goes to the fair"</f>
        <v>Isadora Moon goes to the fair</v>
      </c>
      <c r="F4333" s="3" t="str">
        <f>"by Harriet Muncaster"</f>
        <v>by Harriet Muncaster</v>
      </c>
      <c r="G4333" s="3" t="str">
        <f>"Random House"</f>
        <v>Random House</v>
      </c>
      <c r="H4333" s="2" t="str">
        <f>"2018"</f>
        <v>2018</v>
      </c>
      <c r="I4333" s="3" t="str">
        <f>""</f>
        <v/>
      </c>
    </row>
    <row r="4334" spans="1:9" x14ac:dyDescent="0.3">
      <c r="A4334" s="2">
        <v>4333</v>
      </c>
      <c r="B4334" s="4" t="s">
        <v>3</v>
      </c>
      <c r="C4334" s="3" t="str">
        <f>"TFC000003530"</f>
        <v>TFC000003530</v>
      </c>
      <c r="D4334" s="3" t="str">
        <f>"F800-21-0434"</f>
        <v>F800-21-0434</v>
      </c>
      <c r="E4334" s="3" t="str">
        <f>"Bunny braves the day : a first-day-of-school story"</f>
        <v>Bunny braves the day : a first-day-of-school story</v>
      </c>
      <c r="F4334" s="3" t="str">
        <f>"by Suzanne Bloom"</f>
        <v>by Suzanne Bloom</v>
      </c>
      <c r="G4334" s="3" t="str">
        <f>"Boyds Mills Press"</f>
        <v>Boyds Mills Press</v>
      </c>
      <c r="H4334" s="2" t="str">
        <f>"2020"</f>
        <v>2020</v>
      </c>
      <c r="I4334" s="3" t="str">
        <f>""</f>
        <v/>
      </c>
    </row>
    <row r="4335" spans="1:9" x14ac:dyDescent="0.3">
      <c r="A4335" s="2">
        <v>4334</v>
      </c>
      <c r="B4335" s="4" t="s">
        <v>3</v>
      </c>
      <c r="C4335" s="3" t="str">
        <f>"TFC000003531"</f>
        <v>TFC000003531</v>
      </c>
      <c r="D4335" s="3" t="str">
        <f>"F800-21-0963"</f>
        <v>F800-21-0963</v>
      </c>
      <c r="E4335" s="3" t="str">
        <f>"Mr. Pig's big wall"</f>
        <v>Mr. Pig's big wall</v>
      </c>
      <c r="F4335" s="3" t="str">
        <f>"by Glenn Hernandez"</f>
        <v>by Glenn Hernandez</v>
      </c>
      <c r="G4335" s="3" t="str">
        <f>"Random House"</f>
        <v>Random House</v>
      </c>
      <c r="H4335" s="2" t="str">
        <f>"2020"</f>
        <v>2020</v>
      </c>
      <c r="I4335" s="3" t="str">
        <f>""</f>
        <v/>
      </c>
    </row>
    <row r="4336" spans="1:9" x14ac:dyDescent="0.3">
      <c r="A4336" s="2">
        <v>4335</v>
      </c>
      <c r="B4336" s="4" t="s">
        <v>3</v>
      </c>
      <c r="C4336" s="3" t="str">
        <f>"TFC000003536"</f>
        <v>TFC000003536</v>
      </c>
      <c r="D4336" s="3" t="str">
        <f>"F300-21-0930"</f>
        <v>F300-21-0930</v>
      </c>
      <c r="E4336" s="3" t="str">
        <f>"Ketchup on your reindeer"</f>
        <v>Ketchup on your reindeer</v>
      </c>
      <c r="F4336" s="3" t="str">
        <f>"by Nick Sharratt"</f>
        <v>by Nick Sharratt</v>
      </c>
      <c r="G4336" s="3" t="str">
        <f>"Alison Green Books"</f>
        <v>Alison Green Books</v>
      </c>
      <c r="H4336" s="2" t="str">
        <f>"2020"</f>
        <v>2020</v>
      </c>
      <c r="I4336" s="3" t="str">
        <f>""</f>
        <v/>
      </c>
    </row>
    <row r="4337" spans="1:9" x14ac:dyDescent="0.3">
      <c r="A4337" s="2">
        <v>4336</v>
      </c>
      <c r="B4337" s="4" t="s">
        <v>3</v>
      </c>
      <c r="C4337" s="3" t="str">
        <f>"TFC000003569"</f>
        <v>TFC000003569</v>
      </c>
      <c r="D4337" s="3" t="str">
        <f>"F800-21-0965"</f>
        <v>F800-21-0965</v>
      </c>
      <c r="E4337" s="3" t="str">
        <f>"Mr Wuffles!"</f>
        <v>Mr Wuffles!</v>
      </c>
      <c r="F4337" s="3" t="str">
        <f>"by David Wiesner"</f>
        <v>by David Wiesner</v>
      </c>
      <c r="G4337" s="3" t="str">
        <f>"Andersen Press"</f>
        <v>Andersen Press</v>
      </c>
      <c r="H4337" s="2" t="str">
        <f>"2014"</f>
        <v>2014</v>
      </c>
      <c r="I4337" s="3" t="str">
        <f>""</f>
        <v/>
      </c>
    </row>
    <row r="4338" spans="1:9" x14ac:dyDescent="0.3">
      <c r="A4338" s="2">
        <v>4337</v>
      </c>
      <c r="B4338" s="4" t="s">
        <v>3</v>
      </c>
      <c r="C4338" s="3" t="str">
        <f>"TFC000003574"</f>
        <v>TFC000003574</v>
      </c>
      <c r="D4338" s="3" t="str">
        <f>"F800-21-0966"</f>
        <v>F800-21-0966</v>
      </c>
      <c r="E4338" s="3" t="str">
        <f>"(A)lion is a lion"</f>
        <v>(A)lion is a lion</v>
      </c>
      <c r="F4338" s="3" t="str">
        <f>"by Polly Dunbar"</f>
        <v>by Polly Dunbar</v>
      </c>
      <c r="G4338" s="3" t="str">
        <f>"Walker Books and Subsidiaries"</f>
        <v>Walker Books and Subsidiaries</v>
      </c>
      <c r="H4338" s="2" t="str">
        <f>"2018"</f>
        <v>2018</v>
      </c>
      <c r="I4338" s="3" t="str">
        <f>""</f>
        <v/>
      </c>
    </row>
    <row r="4339" spans="1:9" x14ac:dyDescent="0.3">
      <c r="A4339" s="2">
        <v>4338</v>
      </c>
      <c r="B4339" s="4" t="s">
        <v>3</v>
      </c>
      <c r="C4339" s="3" t="str">
        <f>"TFC000003903"</f>
        <v>TFC000003903</v>
      </c>
      <c r="D4339" s="3" t="str">
        <f>"F800-21-1000"</f>
        <v>F800-21-1000</v>
      </c>
      <c r="E4339" s="3" t="str">
        <f>"Mirabelle Has a Bad Day"</f>
        <v>Mirabelle Has a Bad Day</v>
      </c>
      <c r="F4339" s="3" t="str">
        <f>"by Harriet Muncaster"</f>
        <v>by Harriet Muncaster</v>
      </c>
      <c r="G4339" s="3" t="str">
        <f>"Oxford University Press"</f>
        <v>Oxford University Press</v>
      </c>
      <c r="H4339" s="2" t="str">
        <f>"2021"</f>
        <v>2021</v>
      </c>
      <c r="I4339" s="3" t="str">
        <f>""</f>
        <v/>
      </c>
    </row>
    <row r="4340" spans="1:9" x14ac:dyDescent="0.3">
      <c r="A4340" s="2">
        <v>4339</v>
      </c>
      <c r="B4340" s="4" t="s">
        <v>3</v>
      </c>
      <c r="C4340" s="3" t="str">
        <f>"TFC000003902"</f>
        <v>TFC000003902</v>
      </c>
      <c r="D4340" s="3" t="str">
        <f>"F800-21-0999"</f>
        <v>F800-21-0999</v>
      </c>
      <c r="E4340" s="3" t="str">
        <f>"Mirabelle breaks the rules"</f>
        <v>Mirabelle breaks the rules</v>
      </c>
      <c r="F4340" s="3" t="str">
        <f>"by Harriet Muncaster"</f>
        <v>by Harriet Muncaster</v>
      </c>
      <c r="G4340" s="3" t="str">
        <f>"Oxford University Press"</f>
        <v>Oxford University Press</v>
      </c>
      <c r="H4340" s="2" t="str">
        <f>"2021"</f>
        <v>2021</v>
      </c>
      <c r="I4340" s="3" t="str">
        <f>""</f>
        <v/>
      </c>
    </row>
    <row r="4341" spans="1:9" x14ac:dyDescent="0.3">
      <c r="A4341" s="2">
        <v>4340</v>
      </c>
      <c r="B4341" s="4" t="s">
        <v>3</v>
      </c>
      <c r="C4341" s="3" t="str">
        <f>"TFC000003583"</f>
        <v>TFC000003583</v>
      </c>
      <c r="D4341" s="3" t="str">
        <f>"F800-21-0970"</f>
        <v>F800-21-0970</v>
      </c>
      <c r="E4341" s="3" t="str">
        <f>"While we can't hug"</f>
        <v>While we can't hug</v>
      </c>
      <c r="F4341" s="3" t="str">
        <f>"by Eion McLaughlin, Polly Dunbar"</f>
        <v>by Eion McLaughlin, Polly Dunbar</v>
      </c>
      <c r="G4341" s="3" t="str">
        <f>"Faber and Faber"</f>
        <v>Faber and Faber</v>
      </c>
      <c r="H4341" s="2" t="str">
        <f>"2020"</f>
        <v>2020</v>
      </c>
      <c r="I4341" s="3" t="str">
        <f>""</f>
        <v/>
      </c>
    </row>
    <row r="4342" spans="1:9" x14ac:dyDescent="0.3">
      <c r="A4342" s="2">
        <v>4341</v>
      </c>
      <c r="B4342" s="4" t="s">
        <v>3</v>
      </c>
      <c r="C4342" s="3" t="str">
        <f>"TFC000003584"</f>
        <v>TFC000003584</v>
      </c>
      <c r="D4342" s="3" t="str">
        <f>"F800-21-0971"</f>
        <v>F800-21-0971</v>
      </c>
      <c r="E4342" s="3" t="str">
        <f>"Don't push the button! : an Easter surprise"</f>
        <v>Don't push the button! : an Easter surprise</v>
      </c>
      <c r="F4342" s="3" t="str">
        <f>"written and illustrated Bill Cotter"</f>
        <v>written and illustrated Bill Cotter</v>
      </c>
      <c r="G4342" s="3" t="str">
        <f>"Sourcebooks Jabberwocky"</f>
        <v>Sourcebooks Jabberwocky</v>
      </c>
      <c r="H4342" s="2" t="str">
        <f>"2019"</f>
        <v>2019</v>
      </c>
      <c r="I4342" s="3" t="str">
        <f>""</f>
        <v/>
      </c>
    </row>
    <row r="4343" spans="1:9" x14ac:dyDescent="0.3">
      <c r="A4343" s="2">
        <v>4342</v>
      </c>
      <c r="B4343" s="4" t="s">
        <v>3</v>
      </c>
      <c r="C4343" s="3" t="str">
        <f>"TFC000003585"</f>
        <v>TFC000003585</v>
      </c>
      <c r="D4343" s="3" t="str">
        <f>"F800-21-0972"</f>
        <v>F800-21-0972</v>
      </c>
      <c r="E4343" s="3" t="str">
        <f>"Poppy and Vivaldi"</f>
        <v>Poppy and Vivaldi</v>
      </c>
      <c r="F4343" s="3" t="str">
        <f>"illustrated by Magali Le Huche"</f>
        <v>illustrated by Magali Le Huche</v>
      </c>
      <c r="G4343" s="3" t="str">
        <f>"Walter Foster Jr"</f>
        <v>Walter Foster Jr</v>
      </c>
      <c r="H4343" s="2" t="str">
        <f>"2018"</f>
        <v>2018</v>
      </c>
      <c r="I4343" s="3" t="str">
        <f>""</f>
        <v/>
      </c>
    </row>
    <row r="4344" spans="1:9" x14ac:dyDescent="0.3">
      <c r="A4344" s="2">
        <v>4343</v>
      </c>
      <c r="B4344" s="4" t="s">
        <v>3</v>
      </c>
      <c r="C4344" s="3" t="str">
        <f>"TFC000003592"</f>
        <v>TFC000003592</v>
      </c>
      <c r="D4344" s="3" t="str">
        <f>"F800-21-0973"</f>
        <v>F800-21-0973</v>
      </c>
      <c r="E4344" s="3" t="str">
        <f>"Don't push the button! : a Halloween adventure"</f>
        <v>Don't push the button! : a Halloween adventure</v>
      </c>
      <c r="F4344" s="3" t="str">
        <f>"written and illustrated by Bill Cotter"</f>
        <v>written and illustrated by Bill Cotter</v>
      </c>
      <c r="G4344" s="3" t="str">
        <f>"Sourcebooks Jabberwocky"</f>
        <v>Sourcebooks Jabberwocky</v>
      </c>
      <c r="H4344" s="2" t="str">
        <f>"2018"</f>
        <v>2018</v>
      </c>
      <c r="I4344" s="3" t="str">
        <f>""</f>
        <v/>
      </c>
    </row>
    <row r="4345" spans="1:9" x14ac:dyDescent="0.3">
      <c r="A4345" s="2">
        <v>4344</v>
      </c>
      <c r="B4345" s="4" t="s">
        <v>3</v>
      </c>
      <c r="C4345" s="3" t="str">
        <f>"TFC000003593"</f>
        <v>TFC000003593</v>
      </c>
      <c r="D4345" s="3" t="str">
        <f>"F800-21-0974"</f>
        <v>F800-21-0974</v>
      </c>
      <c r="E4345" s="3" t="str">
        <f>"(The)world's worst parents"</f>
        <v>(The)world's worst parents</v>
      </c>
      <c r="F4345" s="3" t="str">
        <f>"by David Walliams ; illustrated in glorious colour by Tony Ross"</f>
        <v>by David Walliams ; illustrated in glorious colour by Tony Ross</v>
      </c>
      <c r="G4345" s="3" t="str">
        <f>"HarperCollins Children's Books"</f>
        <v>HarperCollins Children's Books</v>
      </c>
      <c r="H4345" s="2" t="str">
        <f>"2020"</f>
        <v>2020</v>
      </c>
      <c r="I4345" s="3" t="str">
        <f>""</f>
        <v/>
      </c>
    </row>
    <row r="4346" spans="1:9" x14ac:dyDescent="0.3">
      <c r="A4346" s="2">
        <v>4345</v>
      </c>
      <c r="B4346" s="4" t="s">
        <v>3</v>
      </c>
      <c r="C4346" s="3" t="str">
        <f>"TFC000003647"</f>
        <v>TFC000003647</v>
      </c>
      <c r="D4346" s="3" t="str">
        <f>"F800-21-0975"</f>
        <v>F800-21-0975</v>
      </c>
      <c r="E4346" s="3" t="str">
        <f>"More far out fairy tales : five full-color graphic novels"</f>
        <v>More far out fairy tales : five full-color graphic novels</v>
      </c>
      <c r="F4346" s="3" t="str">
        <f>"authors, Stephanie True Peters ; Carl Bowen ; Laurie S. Sutton ; Alberto Rayo ; Martin Powell ; illustrators Alex Lopez ; Omar Lozano ; C.S. Jennings"</f>
        <v>authors, Stephanie True Peters ; Carl Bowen ; Laurie S. Sutton ; Alberto Rayo ; Martin Powell ; illustrators Alex Lopez ; Omar Lozano ; C.S. Jennings</v>
      </c>
      <c r="G4346" s="3" t="str">
        <f>"Stone Arch Books, an imprint of Capstone"</f>
        <v>Stone Arch Books, an imprint of Capstone</v>
      </c>
      <c r="H4346" s="2" t="str">
        <f>"2020"</f>
        <v>2020</v>
      </c>
      <c r="I4346" s="3" t="str">
        <f>""</f>
        <v/>
      </c>
    </row>
    <row r="4347" spans="1:9" x14ac:dyDescent="0.3">
      <c r="A4347" s="2">
        <v>4346</v>
      </c>
      <c r="B4347" s="4" t="s">
        <v>3</v>
      </c>
      <c r="C4347" s="3" t="str">
        <f>"TFC000003648"</f>
        <v>TFC000003648</v>
      </c>
      <c r="D4347" s="3" t="str">
        <f>"F800-21-0976"</f>
        <v>F800-21-0976</v>
      </c>
      <c r="E4347" s="3" t="str">
        <f>"Sold on a monday : a novel"</f>
        <v>Sold on a monday : a novel</v>
      </c>
      <c r="F4347" s="3" t="str">
        <f>"by Kristina McMorris"</f>
        <v>by Kristina McMorris</v>
      </c>
      <c r="G4347" s="3" t="str">
        <f>"Sourcebooks Landmark"</f>
        <v>Sourcebooks Landmark</v>
      </c>
      <c r="H4347" s="2" t="str">
        <f>"2018"</f>
        <v>2018</v>
      </c>
      <c r="I4347" s="3" t="str">
        <f>""</f>
        <v/>
      </c>
    </row>
    <row r="4348" spans="1:9" x14ac:dyDescent="0.3">
      <c r="A4348" s="2">
        <v>4347</v>
      </c>
      <c r="B4348" s="4" t="s">
        <v>3</v>
      </c>
      <c r="C4348" s="3" t="str">
        <f>"TFC000003717"</f>
        <v>TFC000003717</v>
      </c>
      <c r="D4348" s="3" t="str">
        <f>"F800-21-0982"</f>
        <v>F800-21-0982</v>
      </c>
      <c r="E4348" s="3" t="str">
        <f>"Henry Heckelbeck and the race car derby"</f>
        <v>Henry Heckelbeck and the race car derby</v>
      </c>
      <c r="F4348" s="3" t="str">
        <f>"by Wanda Coven ; illustrated by Priscilla Burris"</f>
        <v>by Wanda Coven ; illustrated by Priscilla Burris</v>
      </c>
      <c r="G4348" s="3" t="str">
        <f>"Little Simon"</f>
        <v>Little Simon</v>
      </c>
      <c r="H4348" s="2" t="str">
        <f>"2021"</f>
        <v>2021</v>
      </c>
      <c r="I4348" s="3" t="str">
        <f>""</f>
        <v/>
      </c>
    </row>
    <row r="4349" spans="1:9" x14ac:dyDescent="0.3">
      <c r="A4349" s="2">
        <v>4348</v>
      </c>
      <c r="B4349" s="4" t="s">
        <v>3</v>
      </c>
      <c r="C4349" s="3" t="str">
        <f>"TFC000003733"</f>
        <v>TFC000003733</v>
      </c>
      <c r="D4349" s="3" t="str">
        <f>"F800-21-0984"</f>
        <v>F800-21-0984</v>
      </c>
      <c r="E4349" s="3" t="str">
        <f>"Mindy Kim and the trip to Korea"</f>
        <v>Mindy Kim and the trip to Korea</v>
      </c>
      <c r="F4349" s="3" t="str">
        <f>"by Lyla Lee ; illustrated by Dung Ho"</f>
        <v>by Lyla Lee ; illustrated by Dung Ho</v>
      </c>
      <c r="G4349" s="3" t="str">
        <f>"Aladdin"</f>
        <v>Aladdin</v>
      </c>
      <c r="H4349" s="2" t="str">
        <f>"2021"</f>
        <v>2021</v>
      </c>
      <c r="I4349" s="3" t="str">
        <f>""</f>
        <v/>
      </c>
    </row>
    <row r="4350" spans="1:9" x14ac:dyDescent="0.3">
      <c r="A4350" s="2">
        <v>4349</v>
      </c>
      <c r="B4350" s="4" t="s">
        <v>3</v>
      </c>
      <c r="C4350" s="3" t="str">
        <f>"TFC000004870"</f>
        <v>TFC000004870</v>
      </c>
      <c r="D4350" s="3" t="str">
        <f>"F800-22-0600"</f>
        <v>F800-22-0600</v>
      </c>
      <c r="E4350" s="3" t="str">
        <f>"On the edge of the dark sea of darkness"</f>
        <v>On the edge of the dark sea of darkness</v>
      </c>
      <c r="F4350" s="3" t="str">
        <f>"by Andrew Peterson"</f>
        <v>by Andrew Peterson</v>
      </c>
      <c r="G4350" s="3" t="str">
        <f>"Hodder &amp; Stoughton"</f>
        <v>Hodder &amp; Stoughton</v>
      </c>
      <c r="H4350" s="2" t="str">
        <f>"2020"</f>
        <v>2020</v>
      </c>
      <c r="I4350" s="3" t="str">
        <f>""</f>
        <v/>
      </c>
    </row>
    <row r="4351" spans="1:9" x14ac:dyDescent="0.3">
      <c r="A4351" s="2">
        <v>4350</v>
      </c>
      <c r="B4351" s="4" t="s">
        <v>3</v>
      </c>
      <c r="C4351" s="3" t="str">
        <f>"TFC000004865"</f>
        <v>TFC000004865</v>
      </c>
      <c r="D4351" s="3" t="str">
        <f>"F800-22-0595"</f>
        <v>F800-22-0595</v>
      </c>
      <c r="E4351" s="3" t="str">
        <f>"Numberblocks. [1], Monster Maths"</f>
        <v>Numberblocks. [1], Monster Maths</v>
      </c>
      <c r="F4351" s="3" t="str">
        <f>"[by Sweet Cherry]"</f>
        <v>[by Sweet Cherry]</v>
      </c>
      <c r="G4351" s="3" t="str">
        <f>"Sweet Cherry"</f>
        <v>Sweet Cherry</v>
      </c>
      <c r="H4351" s="2" t="str">
        <f>"2022"</f>
        <v>2022</v>
      </c>
      <c r="I4351" s="3" t="str">
        <f>""</f>
        <v/>
      </c>
    </row>
    <row r="4352" spans="1:9" x14ac:dyDescent="0.3">
      <c r="A4352" s="2">
        <v>4351</v>
      </c>
      <c r="B4352" s="4" t="s">
        <v>3</v>
      </c>
      <c r="C4352" s="3" t="str">
        <f>"TFC000004864"</f>
        <v>TFC000004864</v>
      </c>
      <c r="D4352" s="3" t="str">
        <f>"F800-22-0594"</f>
        <v>F800-22-0594</v>
      </c>
      <c r="E4352" s="3" t="str">
        <f>"Pokemon Annual 2023"</f>
        <v>Pokemon Annual 2023</v>
      </c>
      <c r="F4352" s="3" t="str">
        <f>"by Paw Patrol"</f>
        <v>by Paw Patrol</v>
      </c>
      <c r="G4352" s="3" t="str">
        <f>"HarperCollins Publishers"</f>
        <v>HarperCollins Publishers</v>
      </c>
      <c r="H4352" s="2" t="str">
        <f>"2022"</f>
        <v>2022</v>
      </c>
      <c r="I4352" s="3" t="str">
        <f>""</f>
        <v/>
      </c>
    </row>
    <row r="4353" spans="1:9" x14ac:dyDescent="0.3">
      <c r="A4353" s="2">
        <v>4352</v>
      </c>
      <c r="B4353" s="4" t="s">
        <v>3</v>
      </c>
      <c r="C4353" s="3" t="str">
        <f>"TFC000004858"</f>
        <v>TFC000004858</v>
      </c>
      <c r="D4353" s="3" t="str">
        <f>"F800-22-0588"</f>
        <v>F800-22-0588</v>
      </c>
      <c r="E4353" s="3" t="str">
        <f>"Pony : Get Ready To Spook Up Your Home"</f>
        <v>Pony : Get Ready To Spook Up Your Home</v>
      </c>
      <c r="F4353" s="3" t="str">
        <f>"by R. J. Palacio"</f>
        <v>by R. J. Palacio</v>
      </c>
      <c r="G4353" s="3" t="str">
        <f>"Puffin Books"</f>
        <v>Puffin Books</v>
      </c>
      <c r="H4353" s="2" t="str">
        <f>"2021"</f>
        <v>2021</v>
      </c>
      <c r="I4353" s="3" t="str">
        <f>""</f>
        <v/>
      </c>
    </row>
    <row r="4354" spans="1:9" x14ac:dyDescent="0.3">
      <c r="A4354" s="2">
        <v>4353</v>
      </c>
      <c r="B4354" s="4" t="s">
        <v>3</v>
      </c>
      <c r="C4354" s="3" t="str">
        <f>"TFC000004857"</f>
        <v>TFC000004857</v>
      </c>
      <c r="D4354" s="3" t="str">
        <f>"F800-22-0587"</f>
        <v>F800-22-0587</v>
      </c>
      <c r="E4354" s="3" t="str">
        <f>"(The)highland falcon thief"</f>
        <v>(The)highland falcon thief</v>
      </c>
      <c r="F4354" s="3" t="str">
        <f>"by M. G. Leonard, Sam Sedgman, illustrated by Elisa Paganelli"</f>
        <v>by M. G. Leonard, Sam Sedgman, illustrated by Elisa Paganelli</v>
      </c>
      <c r="G4354" s="3" t="str">
        <f>"Macmillan Children&amp;apos;s Books"</f>
        <v>Macmillan Children&amp;apos;s Books</v>
      </c>
      <c r="H4354" s="2" t="str">
        <f>"2020"</f>
        <v>2020</v>
      </c>
      <c r="I4354" s="3" t="str">
        <f>""</f>
        <v/>
      </c>
    </row>
    <row r="4355" spans="1:9" x14ac:dyDescent="0.3">
      <c r="A4355" s="2">
        <v>4354</v>
      </c>
      <c r="B4355" s="4" t="s">
        <v>3</v>
      </c>
      <c r="C4355" s="3" t="str">
        <f>"TFC000004855"</f>
        <v>TFC000004855</v>
      </c>
      <c r="D4355" s="3" t="str">
        <f>"F800-22-0585"</f>
        <v>F800-22-0585</v>
      </c>
      <c r="E4355" s="3" t="str">
        <f>"Heartstopper Volume One"</f>
        <v>Heartstopper Volume One</v>
      </c>
      <c r="F4355" s="3" t="str">
        <f>"by Alice Oseman"</f>
        <v>by Alice Oseman</v>
      </c>
      <c r="G4355" s="3" t="str">
        <f>"Hodder Children's Books"</f>
        <v>Hodder Children's Books</v>
      </c>
      <c r="H4355" s="2" t="str">
        <f>"2022"</f>
        <v>2022</v>
      </c>
      <c r="I4355" s="3" t="str">
        <f>""</f>
        <v/>
      </c>
    </row>
    <row r="4356" spans="1:9" x14ac:dyDescent="0.3">
      <c r="A4356" s="2">
        <v>4355</v>
      </c>
      <c r="B4356" s="4" t="s">
        <v>3</v>
      </c>
      <c r="C4356" s="3" t="str">
        <f>"TFC000004846"</f>
        <v>TFC000004846</v>
      </c>
      <c r="D4356" s="3" t="str">
        <f>"F800-22-0576"</f>
        <v>F800-22-0576</v>
      </c>
      <c r="E4356" s="3" t="str">
        <f>"Marvel-Verse : Wanda &amp; Vision"</f>
        <v>Marvel-Verse : Wanda &amp; Vision</v>
      </c>
      <c r="F4356" s="3" t="str">
        <f>"by Chris Claremont, Louise Simonson, Bill Mantlo"</f>
        <v>by Chris Claremont, Louise Simonson, Bill Mantlo</v>
      </c>
      <c r="G4356" s="3" t="str">
        <f>"Marvel"</f>
        <v>Marvel</v>
      </c>
      <c r="H4356" s="2" t="str">
        <f>"2020"</f>
        <v>2020</v>
      </c>
      <c r="I4356" s="3" t="str">
        <f>""</f>
        <v/>
      </c>
    </row>
    <row r="4357" spans="1:9" x14ac:dyDescent="0.3">
      <c r="A4357" s="2">
        <v>4356</v>
      </c>
      <c r="B4357" s="4" t="s">
        <v>3</v>
      </c>
      <c r="C4357" s="3" t="str">
        <f>"TFC000004845"</f>
        <v>TFC000004845</v>
      </c>
      <c r="D4357" s="3" t="str">
        <f>"F800-22-0575"</f>
        <v>F800-22-0575</v>
      </c>
      <c r="E4357" s="3" t="str">
        <f>"Paw Patrol Annual 2023"</f>
        <v>Paw Patrol Annual 2023</v>
      </c>
      <c r="F4357" s="3" t="str">
        <f>"by Paw Patrol"</f>
        <v>by Paw Patrol</v>
      </c>
      <c r="G4357" s="3" t="str">
        <f>"HarperCollins Publishers"</f>
        <v>HarperCollins Publishers</v>
      </c>
      <c r="H4357" s="2" t="str">
        <f>"2022"</f>
        <v>2022</v>
      </c>
      <c r="I4357" s="3" t="str">
        <f>""</f>
        <v/>
      </c>
    </row>
    <row r="4358" spans="1:9" x14ac:dyDescent="0.3">
      <c r="A4358" s="2">
        <v>4357</v>
      </c>
      <c r="B4358" s="4" t="s">
        <v>3</v>
      </c>
      <c r="C4358" s="3" t="str">
        <f>"TFC000003832"</f>
        <v>TFC000003832</v>
      </c>
      <c r="D4358" s="3" t="str">
        <f>"F800-21-0990"</f>
        <v>F800-21-0990</v>
      </c>
      <c r="E4358" s="3" t="str">
        <f>"No! said Rabbit"</f>
        <v>No! said Rabbit</v>
      </c>
      <c r="F4358" s="3" t="str">
        <f>"Marjoke Henrichs"</f>
        <v>Marjoke Henrichs</v>
      </c>
      <c r="G4358" s="3" t="str">
        <f>"Peachtree Publishing Company"</f>
        <v>Peachtree Publishing Company</v>
      </c>
      <c r="H4358" s="2" t="str">
        <f>"2021"</f>
        <v>2021</v>
      </c>
      <c r="I4358" s="3" t="str">
        <f>""</f>
        <v/>
      </c>
    </row>
    <row r="4359" spans="1:9" x14ac:dyDescent="0.3">
      <c r="A4359" s="2">
        <v>4358</v>
      </c>
      <c r="B4359" s="4" t="s">
        <v>3</v>
      </c>
      <c r="C4359" s="3" t="str">
        <f>"TFC000003849"</f>
        <v>TFC000003849</v>
      </c>
      <c r="D4359" s="3" t="str">
        <f>"F300-21-0931"</f>
        <v>F300-21-0931</v>
      </c>
      <c r="E4359" s="3" t="str">
        <f>"Mix it up!"</f>
        <v>Mix it up!</v>
      </c>
      <c r="F4359" s="3" t="str">
        <f>"by Herve Tullet, translated by Christopher Franceschelli"</f>
        <v>by Herve Tullet, translated by Christopher Franceschelli</v>
      </c>
      <c r="G4359" s="3" t="str">
        <f>"Handprint Books"</f>
        <v>Handprint Books</v>
      </c>
      <c r="H4359" s="2" t="str">
        <f>"2021"</f>
        <v>2021</v>
      </c>
      <c r="I4359" s="3" t="str">
        <f>""</f>
        <v/>
      </c>
    </row>
    <row r="4360" spans="1:9" x14ac:dyDescent="0.3">
      <c r="A4360" s="2">
        <v>4359</v>
      </c>
      <c r="B4360" s="4" t="s">
        <v>3</v>
      </c>
      <c r="C4360" s="3" t="str">
        <f>"TFC000003850"</f>
        <v>TFC000003850</v>
      </c>
      <c r="D4360" s="3" t="str">
        <f>"F800-21-0993"</f>
        <v>F800-21-0993</v>
      </c>
      <c r="E4360" s="3" t="str">
        <f>"Not an alphabet book : the case of the missing cake"</f>
        <v>Not an alphabet book : the case of the missing cake</v>
      </c>
      <c r="F4360" s="3" t="str">
        <f>"by Eoin McLaughlin, illustrated by Marc Boutavant"</f>
        <v>by Eoin McLaughlin, illustrated by Marc Boutavant</v>
      </c>
      <c r="G4360" s="3" t="str">
        <f>"Candlewick Press"</f>
        <v>Candlewick Press</v>
      </c>
      <c r="H4360" s="2" t="str">
        <f>"2020"</f>
        <v>2020</v>
      </c>
      <c r="I4360" s="3" t="str">
        <f>""</f>
        <v/>
      </c>
    </row>
    <row r="4361" spans="1:9" x14ac:dyDescent="0.3">
      <c r="A4361" s="2">
        <v>4360</v>
      </c>
      <c r="B4361" s="4" t="s">
        <v>3</v>
      </c>
      <c r="C4361" s="3" t="str">
        <f>"TFC000004812"</f>
        <v>TFC000004812</v>
      </c>
      <c r="D4361" s="3" t="str">
        <f>"F000-22-0550"</f>
        <v>F000-22-0550</v>
      </c>
      <c r="E4361" s="3" t="str">
        <f>"Everything You Need to Ace Computer Science and Coding in One Big Fat Notebook"</f>
        <v>Everything You Need to Ace Computer Science and Coding in One Big Fat Notebook</v>
      </c>
      <c r="F4361" s="3" t="str">
        <f>"by Grant Smith, illustrated by Chris Pearce"</f>
        <v>by Grant Smith, illustrated by Chris Pearce</v>
      </c>
      <c r="G4361" s="3" t="str">
        <f>"Workman Publishing"</f>
        <v>Workman Publishing</v>
      </c>
      <c r="H4361" s="2" t="str">
        <f>"2020"</f>
        <v>2020</v>
      </c>
      <c r="I4361" s="3" t="str">
        <f>""</f>
        <v/>
      </c>
    </row>
    <row r="4362" spans="1:9" x14ac:dyDescent="0.3">
      <c r="A4362" s="2">
        <v>4361</v>
      </c>
      <c r="B4362" s="4" t="s">
        <v>3</v>
      </c>
      <c r="C4362" s="3" t="str">
        <f>"TFC000003852"</f>
        <v>TFC000003852</v>
      </c>
      <c r="D4362" s="3" t="str">
        <f>"F800-21-0995"</f>
        <v>F800-21-0995</v>
      </c>
      <c r="E4362" s="3" t="str">
        <f>"Isadora Moon meets the tooth fairy"</f>
        <v>Isadora Moon meets the tooth fairy</v>
      </c>
      <c r="F4362" s="3" t="str">
        <f>"by Harriet Muncaster"</f>
        <v>by Harriet Muncaster</v>
      </c>
      <c r="G4362" s="3" t="str">
        <f>"Oxford University press"</f>
        <v>Oxford University press</v>
      </c>
      <c r="H4362" s="2" t="str">
        <f>"2021"</f>
        <v>2021</v>
      </c>
      <c r="I4362" s="3" t="str">
        <f>""</f>
        <v/>
      </c>
    </row>
    <row r="4363" spans="1:9" x14ac:dyDescent="0.3">
      <c r="A4363" s="2">
        <v>4362</v>
      </c>
      <c r="B4363" s="4" t="s">
        <v>3</v>
      </c>
      <c r="C4363" s="3" t="str">
        <f>"TFC000003894"</f>
        <v>TFC000003894</v>
      </c>
      <c r="D4363" s="3" t="str">
        <f>"F800-21-0996"</f>
        <v>F800-21-0996</v>
      </c>
      <c r="E4363" s="3" t="str">
        <f>"I say ooh you say aah"</f>
        <v>I say ooh you say aah</v>
      </c>
      <c r="F4363" s="3" t="str">
        <f>"by John Kane"</f>
        <v>by John Kane</v>
      </c>
      <c r="G4363" s="3" t="str">
        <f>"Templar Publishing"</f>
        <v>Templar Publishing</v>
      </c>
      <c r="H4363" s="2" t="str">
        <f>"2018"</f>
        <v>2018</v>
      </c>
      <c r="I4363" s="3" t="str">
        <f>""</f>
        <v/>
      </c>
    </row>
    <row r="4364" spans="1:9" x14ac:dyDescent="0.3">
      <c r="A4364" s="2">
        <v>4363</v>
      </c>
      <c r="B4364" s="4" t="s">
        <v>3</v>
      </c>
      <c r="C4364" s="3" t="str">
        <f>"TFC000003900"</f>
        <v>TFC000003900</v>
      </c>
      <c r="D4364" s="3" t="str">
        <f>"F300-21-0933"</f>
        <v>F300-21-0933</v>
      </c>
      <c r="E4364" s="3" t="str">
        <f>"Crack!"</f>
        <v>Crack!</v>
      </c>
      <c r="F4364" s="3" t="str">
        <f>"by Beatriz Gimenez de Ory"</f>
        <v>by Beatriz Gimenez de Ory</v>
      </c>
      <c r="G4364" s="3" t="str">
        <f>"Barefoot Books"</f>
        <v>Barefoot Books</v>
      </c>
      <c r="H4364" s="2" t="str">
        <f>"2020"</f>
        <v>2020</v>
      </c>
      <c r="I4364" s="3" t="str">
        <f>""</f>
        <v/>
      </c>
    </row>
    <row r="4365" spans="1:9" x14ac:dyDescent="0.3">
      <c r="A4365" s="2">
        <v>4364</v>
      </c>
      <c r="B4365" s="4" t="s">
        <v>3</v>
      </c>
      <c r="C4365" s="3" t="str">
        <f>"TFC000003904"</f>
        <v>TFC000003904</v>
      </c>
      <c r="D4365" s="3" t="str">
        <f>"F800-21-1001"</f>
        <v>F800-21-1001</v>
      </c>
      <c r="E4365" s="3" t="str">
        <f>"(Tractor Mac)Autumn is here"</f>
        <v>(Tractor Mac)Autumn is here</v>
      </c>
      <c r="F4365" s="3" t="str">
        <f>"written and illustrated by Billy Steers"</f>
        <v>written and illustrated by Billy Steers</v>
      </c>
      <c r="G4365" s="3" t="str">
        <f>"Farrar Straus Giroux"</f>
        <v>Farrar Straus Giroux</v>
      </c>
      <c r="H4365" s="2" t="str">
        <f>"2020"</f>
        <v>2020</v>
      </c>
      <c r="I4365" s="3" t="str">
        <f>""</f>
        <v/>
      </c>
    </row>
    <row r="4366" spans="1:9" x14ac:dyDescent="0.3">
      <c r="A4366" s="2">
        <v>4365</v>
      </c>
      <c r="B4366" s="4" t="s">
        <v>3</v>
      </c>
      <c r="C4366" s="3" t="str">
        <f>"TFC000003930"</f>
        <v>TFC000003930</v>
      </c>
      <c r="D4366" s="3" t="str">
        <f>"F300-21-0934"</f>
        <v>F300-21-0934</v>
      </c>
      <c r="E4366" s="3" t="str">
        <f>"Why the face?"</f>
        <v>Why the face?</v>
      </c>
      <c r="F4366" s="3" t="str">
        <f>"by Jean Jullien"</f>
        <v>by Jean Jullien</v>
      </c>
      <c r="G4366" s="3" t="str">
        <f>"Berlin Phaidon"</f>
        <v>Berlin Phaidon</v>
      </c>
      <c r="H4366" s="2" t="str">
        <f>"2018"</f>
        <v>2018</v>
      </c>
      <c r="I4366" s="3" t="str">
        <f>""</f>
        <v/>
      </c>
    </row>
    <row r="4367" spans="1:9" x14ac:dyDescent="0.3">
      <c r="A4367" s="2">
        <v>4366</v>
      </c>
      <c r="B4367" s="4" t="s">
        <v>3</v>
      </c>
      <c r="C4367" s="3" t="str">
        <f>"TFC000003939"</f>
        <v>TFC000003939</v>
      </c>
      <c r="D4367" s="3" t="str">
        <f>"F300-21-0935"</f>
        <v>F300-21-0935</v>
      </c>
      <c r="E4367" s="3" t="str">
        <f>"Busy sports day"</f>
        <v>Busy sports day</v>
      </c>
      <c r="F4367" s="3" t="str">
        <f>"illustrated by Louise Forshaw"</f>
        <v>illustrated by Louise Forshaw</v>
      </c>
      <c r="G4367" s="3" t="str">
        <f>"Campbell Books"</f>
        <v>Campbell Books</v>
      </c>
      <c r="H4367" s="2" t="str">
        <f>"2020"</f>
        <v>2020</v>
      </c>
      <c r="I4367" s="3" t="str">
        <f>""</f>
        <v/>
      </c>
    </row>
    <row r="4368" spans="1:9" x14ac:dyDescent="0.3">
      <c r="A4368" s="2">
        <v>4367</v>
      </c>
      <c r="B4368" s="4" t="s">
        <v>3</v>
      </c>
      <c r="C4368" s="3" t="str">
        <f>"TFC000003942"</f>
        <v>TFC000003942</v>
      </c>
      <c r="D4368" s="3" t="str">
        <f>"F800-21-1005"</f>
        <v>F800-21-1005</v>
      </c>
      <c r="E4368" s="3" t="str">
        <f>"(The)Tiny woman's coat"</f>
        <v>(The)Tiny woman's coat</v>
      </c>
      <c r="F4368" s="3" t="str">
        <f>"text, Joy Cowley, illustrations, Giselle Clarkson"</f>
        <v>text, Joy Cowley, illustrations, Giselle Clarkson</v>
      </c>
      <c r="G4368" s="3" t="str">
        <f>"Gecko Press"</f>
        <v>Gecko Press</v>
      </c>
      <c r="H4368" s="2" t="str">
        <f>"2021"</f>
        <v>2021</v>
      </c>
      <c r="I4368" s="3" t="str">
        <f>""</f>
        <v/>
      </c>
    </row>
    <row r="4369" spans="1:9" x14ac:dyDescent="0.3">
      <c r="A4369" s="2">
        <v>4368</v>
      </c>
      <c r="B4369" s="4" t="s">
        <v>3</v>
      </c>
      <c r="C4369" s="3" t="str">
        <f>"TFC000003946"</f>
        <v>TFC000003946</v>
      </c>
      <c r="D4369" s="3" t="str">
        <f>"F800-21-1006"</f>
        <v>F800-21-1006</v>
      </c>
      <c r="E4369" s="3" t="str">
        <f>"What's in the Witch's Kitchen?"</f>
        <v>What's in the Witch's Kitchen?</v>
      </c>
      <c r="F4369" s="3" t="str">
        <f>"by Nick Sharratt"</f>
        <v>by Nick Sharratt</v>
      </c>
      <c r="G4369" s="3" t="str">
        <f>"Walker Books Ltd"</f>
        <v>Walker Books Ltd</v>
      </c>
      <c r="H4369" s="2" t="str">
        <f>"2018"</f>
        <v>2018</v>
      </c>
      <c r="I4369" s="3" t="str">
        <f>""</f>
        <v/>
      </c>
    </row>
    <row r="4370" spans="1:9" x14ac:dyDescent="0.3">
      <c r="A4370" s="2">
        <v>4369</v>
      </c>
      <c r="B4370" s="4" t="s">
        <v>3</v>
      </c>
      <c r="C4370" s="3" t="str">
        <f>"TFC000003948"</f>
        <v>TFC000003948</v>
      </c>
      <c r="D4370" s="3" t="str">
        <f>"F800-21-1007"</f>
        <v>F800-21-1007</v>
      </c>
      <c r="E4370" s="3" t="str">
        <f>"Victoria Stitch : bad and glittering"</f>
        <v>Victoria Stitch : bad and glittering</v>
      </c>
      <c r="F4370" s="3" t="str">
        <f>"Harriet Muncaster"</f>
        <v>Harriet Muncaster</v>
      </c>
      <c r="G4370" s="3" t="str">
        <f>"Oxford University Press"</f>
        <v>Oxford University Press</v>
      </c>
      <c r="H4370" s="2" t="str">
        <f>"2020"</f>
        <v>2020</v>
      </c>
      <c r="I4370" s="3" t="str">
        <f>""</f>
        <v/>
      </c>
    </row>
    <row r="4371" spans="1:9" x14ac:dyDescent="0.3">
      <c r="A4371" s="2">
        <v>4370</v>
      </c>
      <c r="B4371" s="4" t="s">
        <v>3</v>
      </c>
      <c r="C4371" s="3" t="str">
        <f>"TFC000003952"</f>
        <v>TFC000003952</v>
      </c>
      <c r="D4371" s="3" t="str">
        <f>"F800-21-1009"</f>
        <v>F800-21-1009</v>
      </c>
      <c r="E4371" s="3" t="str">
        <f>"Pip &amp; Egg"</f>
        <v>Pip &amp; Egg</v>
      </c>
      <c r="F4371" s="3" t="str">
        <f>"by Alex Latimer, illustrated by David Litchfield"</f>
        <v>by Alex Latimer, illustrated by David Litchfield</v>
      </c>
      <c r="G4371" s="3" t="str">
        <f>"Scholastic"</f>
        <v>Scholastic</v>
      </c>
      <c r="H4371" s="2" t="str">
        <f>"2021"</f>
        <v>2021</v>
      </c>
      <c r="I4371" s="3" t="str">
        <f>""</f>
        <v/>
      </c>
    </row>
    <row r="4372" spans="1:9" x14ac:dyDescent="0.3">
      <c r="A4372" s="2">
        <v>4371</v>
      </c>
      <c r="B4372" s="4" t="s">
        <v>3</v>
      </c>
      <c r="C4372" s="3" t="str">
        <f>"TFC000003953"</f>
        <v>TFC000003953</v>
      </c>
      <c r="D4372" s="3" t="str">
        <f>"F800-21-1010"</f>
        <v>F800-21-1010</v>
      </c>
      <c r="E4372" s="3" t="str">
        <f>"Snow Woman"</f>
        <v>Snow Woman</v>
      </c>
      <c r="F4372" s="3" t="str">
        <f>"David Mckee"</f>
        <v>David Mckee</v>
      </c>
      <c r="G4372" s="3" t="str">
        <f>"Andersen Press"</f>
        <v>Andersen Press</v>
      </c>
      <c r="H4372" s="2" t="str">
        <f>"2020"</f>
        <v>2020</v>
      </c>
      <c r="I4372" s="3" t="str">
        <f>""</f>
        <v/>
      </c>
    </row>
    <row r="4373" spans="1:9" x14ac:dyDescent="0.3">
      <c r="A4373" s="2">
        <v>4372</v>
      </c>
      <c r="B4373" s="4" t="s">
        <v>3</v>
      </c>
      <c r="C4373" s="3" t="str">
        <f>"TFC000004131"</f>
        <v>TFC000004131</v>
      </c>
      <c r="D4373" s="3" t="str">
        <f>"F800-21-1014"</f>
        <v>F800-21-1014</v>
      </c>
      <c r="E4373" s="3" t="str">
        <f>"Wow! it's night-time,"</f>
        <v>Wow! it's night-time,</v>
      </c>
      <c r="F4373" s="3" t="str">
        <f>"[by] Tim Hopgood"</f>
        <v>[by] Tim Hopgood</v>
      </c>
      <c r="G4373" s="3" t="str">
        <f>"Macmillan children's Books"</f>
        <v>Macmillan children's Books</v>
      </c>
      <c r="H4373" s="2" t="str">
        <f>"2018"</f>
        <v>2018</v>
      </c>
      <c r="I4373" s="3" t="str">
        <f>""</f>
        <v/>
      </c>
    </row>
    <row r="4374" spans="1:9" x14ac:dyDescent="0.3">
      <c r="A4374" s="2">
        <v>4373</v>
      </c>
      <c r="B4374" s="4" t="s">
        <v>3</v>
      </c>
      <c r="C4374" s="3" t="str">
        <f>"TFC000004138"</f>
        <v>TFC000004138</v>
      </c>
      <c r="D4374" s="3" t="str">
        <f>"F800-21-0108"</f>
        <v>F800-21-0108</v>
      </c>
      <c r="E4374" s="3" t="str">
        <f>"Little Beauty"</f>
        <v>Little Beauty</v>
      </c>
      <c r="F4374" s="3" t="str">
        <f>"by Anthony Brown"</f>
        <v>by Anthony Brown</v>
      </c>
      <c r="G4374" s="3" t="str">
        <f>"Candlewick press"</f>
        <v>Candlewick press</v>
      </c>
      <c r="H4374" s="2" t="str">
        <f>"2010"</f>
        <v>2010</v>
      </c>
      <c r="I4374" s="3" t="str">
        <f>""</f>
        <v/>
      </c>
    </row>
    <row r="4375" spans="1:9" x14ac:dyDescent="0.3">
      <c r="A4375" s="2">
        <v>4374</v>
      </c>
      <c r="B4375" s="4" t="s">
        <v>3</v>
      </c>
      <c r="C4375" s="3" t="str">
        <f>"TFC000004207"</f>
        <v>TFC000004207</v>
      </c>
      <c r="D4375" s="3" t="str">
        <f>"F800-22-0093"</f>
        <v>F800-22-0093</v>
      </c>
      <c r="E4375" s="3" t="str">
        <f>"Claude at the palace"</f>
        <v>Claude at the palace</v>
      </c>
      <c r="F4375" s="3" t="str">
        <f>"by Alex T. Smith"</f>
        <v>by Alex T. Smith</v>
      </c>
      <c r="G4375" s="3" t="str">
        <f>"Hachette Children's Group"</f>
        <v>Hachette Children's Group</v>
      </c>
      <c r="H4375" s="2" t="str">
        <f>"2021"</f>
        <v>2021</v>
      </c>
      <c r="I4375" s="3" t="str">
        <f>""</f>
        <v/>
      </c>
    </row>
    <row r="4376" spans="1:9" x14ac:dyDescent="0.3">
      <c r="A4376" s="2">
        <v>4375</v>
      </c>
      <c r="B4376" s="4" t="s">
        <v>3</v>
      </c>
      <c r="C4376" s="3" t="str">
        <f>"TFC000004210"</f>
        <v>TFC000004210</v>
      </c>
      <c r="D4376" s="3" t="str">
        <f>"F800-22-0095"</f>
        <v>F800-22-0095</v>
      </c>
      <c r="E4376" s="3" t="str">
        <f>"Garlic and the Vampire/"</f>
        <v>Garlic and the Vampire/</v>
      </c>
      <c r="F4376" s="3" t="str">
        <f>"by Bree Paulsen"</f>
        <v>by Bree Paulsen</v>
      </c>
      <c r="G4376" s="3" t="str">
        <f>"Quill Tree Books,"</f>
        <v>Quill Tree Books,</v>
      </c>
      <c r="H4376" s="2" t="str">
        <f>"2021"</f>
        <v>2021</v>
      </c>
      <c r="I4376" s="3" t="str">
        <f>""</f>
        <v/>
      </c>
    </row>
    <row r="4377" spans="1:9" x14ac:dyDescent="0.3">
      <c r="A4377" s="2">
        <v>4376</v>
      </c>
      <c r="B4377" s="4" t="s">
        <v>3</v>
      </c>
      <c r="C4377" s="3" t="str">
        <f>"TFC000004216"</f>
        <v>TFC000004216</v>
      </c>
      <c r="D4377" s="3" t="str">
        <f>"F800-22-0101"</f>
        <v>F800-22-0101</v>
      </c>
      <c r="E4377" s="3" t="str">
        <f>"(A)Place inside of me : a poem to heal the heart"</f>
        <v>(A)Place inside of me : a poem to heal the heart</v>
      </c>
      <c r="F4377" s="3" t="str">
        <f>"by Zetta Elliott, illustrated by Noa Denmon"</f>
        <v>by Zetta Elliott, illustrated by Noa Denmon</v>
      </c>
      <c r="G4377" s="3" t="str">
        <f>"Farrar Straus &amp; Giroux"</f>
        <v>Farrar Straus &amp; Giroux</v>
      </c>
      <c r="H4377" s="2" t="str">
        <f>"2020"</f>
        <v>2020</v>
      </c>
      <c r="I4377" s="3" t="str">
        <f>""</f>
        <v/>
      </c>
    </row>
    <row r="4378" spans="1:9" x14ac:dyDescent="0.3">
      <c r="A4378" s="2">
        <v>4377</v>
      </c>
      <c r="B4378" s="4" t="s">
        <v>3</v>
      </c>
      <c r="C4378" s="3" t="str">
        <f>"TFC000004362"</f>
        <v>TFC000004362</v>
      </c>
      <c r="D4378" s="3" t="str">
        <f>"F400-22-0171"</f>
        <v>F400-22-0171</v>
      </c>
      <c r="E4378" s="3" t="str">
        <f>"The Gross Life Cycle of a Black Widow Spider"</f>
        <v>The Gross Life Cycle of a Black Widow Spider</v>
      </c>
      <c r="F4378" s="3" t="str">
        <f>"by William Anthony"</f>
        <v>by William Anthony</v>
      </c>
      <c r="G4378" s="3" t="str">
        <f>"BookLife Publishing"</f>
        <v>BookLife Publishing</v>
      </c>
      <c r="H4378" s="2" t="str">
        <f>"2022"</f>
        <v>2022</v>
      </c>
      <c r="I4378" s="3" t="str">
        <f>""</f>
        <v/>
      </c>
    </row>
    <row r="4379" spans="1:9" x14ac:dyDescent="0.3">
      <c r="A4379" s="2">
        <v>4378</v>
      </c>
      <c r="B4379" s="4" t="s">
        <v>3</v>
      </c>
      <c r="C4379" s="3" t="str">
        <f>"TFC000004313"</f>
        <v>TFC000004313</v>
      </c>
      <c r="D4379" s="3" t="str">
        <f>"F800-22-0115"</f>
        <v>F800-22-0115</v>
      </c>
      <c r="E4379" s="3" t="str">
        <f>"How to Measure Everything"</f>
        <v>How to Measure Everything</v>
      </c>
      <c r="F4379" s="3" t="str">
        <f>"by Dorling Kindersley Inc."</f>
        <v>by Dorling Kindersley Inc.</v>
      </c>
      <c r="G4379" s="3" t="str">
        <f>"DK Publishing"</f>
        <v>DK Publishing</v>
      </c>
      <c r="H4379" s="2" t="str">
        <f>"2018"</f>
        <v>2018</v>
      </c>
      <c r="I4379" s="3" t="str">
        <f>""</f>
        <v/>
      </c>
    </row>
    <row r="4380" spans="1:9" x14ac:dyDescent="0.3">
      <c r="A4380" s="2">
        <v>4379</v>
      </c>
      <c r="B4380" s="4" t="s">
        <v>3</v>
      </c>
      <c r="C4380" s="3" t="str">
        <f>"TFC000004322"</f>
        <v>TFC000004322</v>
      </c>
      <c r="D4380" s="3" t="str">
        <f>"F000-22-0131"</f>
        <v>F000-22-0131</v>
      </c>
      <c r="E4380" s="3" t="str">
        <f>"Everything You Need to Ace Computer Science and Coding in One Big Fat Notebook"</f>
        <v>Everything You Need to Ace Computer Science and Coding in One Big Fat Notebook</v>
      </c>
      <c r="F4380" s="3" t="str">
        <f>"by Grant Smith, illustrated by Chris Pearce"</f>
        <v>by Grant Smith, illustrated by Chris Pearce</v>
      </c>
      <c r="G4380" s="3" t="str">
        <f>"Workman Publishing"</f>
        <v>Workman Publishing</v>
      </c>
      <c r="H4380" s="2" t="str">
        <f>"2020"</f>
        <v>2020</v>
      </c>
      <c r="I4380" s="3" t="str">
        <f>""</f>
        <v/>
      </c>
    </row>
    <row r="4381" spans="1:9" x14ac:dyDescent="0.3">
      <c r="A4381" s="2">
        <v>4380</v>
      </c>
      <c r="B4381" s="4" t="s">
        <v>3</v>
      </c>
      <c r="C4381" s="3" t="str">
        <f>"TFC000004894"</f>
        <v>TFC000004894</v>
      </c>
      <c r="D4381" s="3" t="str">
        <f>"F800-22-0624"</f>
        <v>F800-22-0624</v>
      </c>
      <c r="E4381" s="3" t="str">
        <f>"Offical Pokemon Search &amp; Find : Adventures in Galar"</f>
        <v>Offical Pokemon Search &amp; Find : Adventures in Galar</v>
      </c>
      <c r="F4381" s="3" t="str">
        <f>"by Pokemon"</f>
        <v>by Pokemon</v>
      </c>
      <c r="G4381" s="3" t="str">
        <f>"Hachette Childres's Group"</f>
        <v>Hachette Childres's Group</v>
      </c>
      <c r="H4381" s="2" t="str">
        <f>"2022"</f>
        <v>2022</v>
      </c>
      <c r="I4381" s="3" t="str">
        <f>""</f>
        <v/>
      </c>
    </row>
    <row r="4382" spans="1:9" x14ac:dyDescent="0.3">
      <c r="A4382" s="2">
        <v>4381</v>
      </c>
      <c r="B4382" s="4" t="s">
        <v>3</v>
      </c>
      <c r="C4382" s="3" t="str">
        <f>"TFC000004893"</f>
        <v>TFC000004893</v>
      </c>
      <c r="D4382" s="3" t="str">
        <f>"F800-22-0623"</f>
        <v>F800-22-0623</v>
      </c>
      <c r="E4382" s="3" t="str">
        <f>"(A)Stone Sat Still"</f>
        <v>(A)Stone Sat Still</v>
      </c>
      <c r="F4382" s="3" t="str">
        <f>"by Brendan Wenzel"</f>
        <v>by Brendan Wenzel</v>
      </c>
      <c r="G4382" s="3" t="str">
        <f>"Chronicle Books"</f>
        <v>Chronicle Books</v>
      </c>
      <c r="H4382" s="2" t="str">
        <f>"2022"</f>
        <v>2022</v>
      </c>
      <c r="I4382" s="3" t="str">
        <f>""</f>
        <v/>
      </c>
    </row>
    <row r="4383" spans="1:9" x14ac:dyDescent="0.3">
      <c r="A4383" s="2">
        <v>4382</v>
      </c>
      <c r="B4383" s="4" t="s">
        <v>3</v>
      </c>
      <c r="C4383" s="3" t="str">
        <f>"TFC000004884"</f>
        <v>TFC000004884</v>
      </c>
      <c r="D4383" s="3" t="str">
        <f>"F500-22-0614"</f>
        <v>F500-22-0614</v>
      </c>
      <c r="E4383" s="3" t="str">
        <f>"Yoda's galaxy atlas : Lego star wars"</f>
        <v>Yoda's galaxy atlas : Lego star wars</v>
      </c>
      <c r="F4383" s="3" t="str">
        <f>"written by Simon Hugo"</f>
        <v>written by Simon Hugo</v>
      </c>
      <c r="G4383" s="3" t="str">
        <f>"DK Publishing"</f>
        <v>DK Publishing</v>
      </c>
      <c r="H4383" s="2" t="str">
        <f>"2021"</f>
        <v>2021</v>
      </c>
      <c r="I4383" s="3" t="str">
        <f>""</f>
        <v/>
      </c>
    </row>
    <row r="4384" spans="1:9" x14ac:dyDescent="0.3">
      <c r="A4384" s="2">
        <v>4383</v>
      </c>
      <c r="B4384" s="4" t="s">
        <v>3</v>
      </c>
      <c r="C4384" s="3" t="str">
        <f>"TFC000004882"</f>
        <v>TFC000004882</v>
      </c>
      <c r="D4384" s="3" t="str">
        <f>"F800-22-0612"</f>
        <v>F800-22-0612</v>
      </c>
      <c r="E4384" s="3" t="str">
        <f>"(Disney)5-Minute Ffurry Friends Stories"</f>
        <v>(Disney)5-Minute Ffurry Friends Stories</v>
      </c>
      <c r="F4384" s="3" t="str">
        <f>"by Disney"</f>
        <v>by Disney</v>
      </c>
      <c r="G4384" s="3" t="str">
        <f>"Disney Press"</f>
        <v>Disney Press</v>
      </c>
      <c r="H4384" s="2" t="str">
        <f>"2021"</f>
        <v>2021</v>
      </c>
      <c r="I4384" s="3" t="str">
        <f>""</f>
        <v/>
      </c>
    </row>
    <row r="4385" spans="1:9" x14ac:dyDescent="0.3">
      <c r="A4385" s="2">
        <v>4384</v>
      </c>
      <c r="B4385" s="4" t="s">
        <v>3</v>
      </c>
      <c r="C4385" s="3" t="str">
        <f>"TFC000004881"</f>
        <v>TFC000004881</v>
      </c>
      <c r="D4385" s="3" t="str">
        <f>"F800-22-0611"</f>
        <v>F800-22-0611</v>
      </c>
      <c r="E4385" s="3" t="str">
        <f>"Halloween Heroes! : Paw Patrol Picture Book"</f>
        <v>Halloween Heroes! : Paw Patrol Picture Book</v>
      </c>
      <c r="F4385" s="3" t="str">
        <f>"by Paw Patrol"</f>
        <v>by Paw Patrol</v>
      </c>
      <c r="G4385" s="3" t="str">
        <f>"HarperCollins Publishers"</f>
        <v>HarperCollins Publishers</v>
      </c>
      <c r="H4385" s="2" t="str">
        <f>"2022"</f>
        <v>2022</v>
      </c>
      <c r="I4385" s="3" t="str">
        <f>""</f>
        <v/>
      </c>
    </row>
    <row r="4386" spans="1:9" x14ac:dyDescent="0.3">
      <c r="A4386" s="2">
        <v>4385</v>
      </c>
      <c r="B4386" s="4" t="s">
        <v>3</v>
      </c>
      <c r="C4386" s="3" t="str">
        <f>"TFC000004360"</f>
        <v>TFC000004360</v>
      </c>
      <c r="D4386" s="3" t="str">
        <f>"F800-22-0169"</f>
        <v>F800-22-0169</v>
      </c>
      <c r="E4386" s="3" t="str">
        <f>"Goodnight, Rainbow Cats"</f>
        <v>Goodnight, Rainbow Cats</v>
      </c>
      <c r="F4386" s="3" t="str">
        <f>"by Barbara Castro Urio"</f>
        <v>by Barbara Castro Urio</v>
      </c>
      <c r="G4386" s="3" t="str">
        <f>"Chronicle Books"</f>
        <v>Chronicle Books</v>
      </c>
      <c r="H4386" s="2" t="str">
        <f>"2019"</f>
        <v>2019</v>
      </c>
      <c r="I4386" s="3" t="str">
        <f>""</f>
        <v/>
      </c>
    </row>
    <row r="4387" spans="1:9" x14ac:dyDescent="0.3">
      <c r="A4387" s="2">
        <v>4386</v>
      </c>
      <c r="B4387" s="4" t="s">
        <v>3</v>
      </c>
      <c r="C4387" s="3" t="str">
        <f>"TFC000004361"</f>
        <v>TFC000004361</v>
      </c>
      <c r="D4387" s="3" t="str">
        <f>"F800-22-0170"</f>
        <v>F800-22-0170</v>
      </c>
      <c r="E4387" s="3" t="str">
        <f>"I can roar like a dinosaur"</f>
        <v>I can roar like a dinosaur</v>
      </c>
      <c r="F4387" s="3" t="str">
        <f>"by Karl Newson, illustrated by Ross Collins"</f>
        <v>by Karl Newson, illustrated by Ross Collins</v>
      </c>
      <c r="G4387" s="3" t="str">
        <f>"Macmillan Children's Books"</f>
        <v>Macmillan Children's Books</v>
      </c>
      <c r="H4387" s="2" t="str">
        <f>"2020"</f>
        <v>2020</v>
      </c>
      <c r="I4387" s="3" t="str">
        <f>""</f>
        <v/>
      </c>
    </row>
    <row r="4388" spans="1:9" x14ac:dyDescent="0.3">
      <c r="A4388" s="2">
        <v>4387</v>
      </c>
      <c r="B4388" s="4" t="s">
        <v>3</v>
      </c>
      <c r="C4388" s="3" t="str">
        <f>"TFC000004877"</f>
        <v>TFC000004877</v>
      </c>
      <c r="D4388" s="3" t="str">
        <f>"F400-22-0607"</f>
        <v>F400-22-0607</v>
      </c>
      <c r="E4388" s="3" t="str">
        <f>"Magnetology : Animals"</f>
        <v>Magnetology : Animals</v>
      </c>
      <c r="F4388" s="3" t="str">
        <f>"by Maud Poulain, illustrated by Camille Tisserand"</f>
        <v>by Maud Poulain, illustrated by Camille Tisserand</v>
      </c>
      <c r="G4388" s="3" t="str">
        <f>"Twirl"</f>
        <v>Twirl</v>
      </c>
      <c r="H4388" s="2" t="str">
        <f>"2021"</f>
        <v>2021</v>
      </c>
      <c r="I4388" s="3" t="str">
        <f>""</f>
        <v/>
      </c>
    </row>
    <row r="4389" spans="1:9" x14ac:dyDescent="0.3">
      <c r="A4389" s="2">
        <v>4388</v>
      </c>
      <c r="B4389" s="4" t="s">
        <v>3</v>
      </c>
      <c r="C4389" s="3" t="str">
        <f>"TFC000004364"</f>
        <v>TFC000004364</v>
      </c>
      <c r="D4389" s="3" t="str">
        <f>"F800-22-0173"</f>
        <v>F800-22-0173</v>
      </c>
      <c r="E4389" s="3" t="str">
        <f>"Ruffles &amp; the Red Red Coat"</f>
        <v>Ruffles &amp; the Red Red Coat</v>
      </c>
      <c r="F4389" s="3" t="str">
        <f>"by David Melling"</f>
        <v>by David Melling</v>
      </c>
      <c r="G4389" s="3" t="str">
        <f>"Nosy Crow Ltd"</f>
        <v>Nosy Crow Ltd</v>
      </c>
      <c r="H4389" s="2" t="str">
        <f>"2021"</f>
        <v>2021</v>
      </c>
      <c r="I4389" s="3" t="str">
        <f>""</f>
        <v/>
      </c>
    </row>
    <row r="4390" spans="1:9" x14ac:dyDescent="0.3">
      <c r="A4390" s="2">
        <v>4389</v>
      </c>
      <c r="B4390" s="4" t="s">
        <v>3</v>
      </c>
      <c r="C4390" s="3" t="str">
        <f>"TFC000004365"</f>
        <v>TFC000004365</v>
      </c>
      <c r="D4390" s="3" t="str">
        <f>"F800-22-0174"</f>
        <v>F800-22-0174</v>
      </c>
      <c r="E4390" s="3" t="str">
        <f>"When a dragon meets a baby"</f>
        <v>When a dragon meets a baby</v>
      </c>
      <c r="F4390" s="3" t="str">
        <f>"by Caryl Hart, illustrations by Rosalind Beardshaw"</f>
        <v>by Caryl Hart, illustrations by Rosalind Beardshaw</v>
      </c>
      <c r="G4390" s="3" t="str">
        <f>"Nosy Crow"</f>
        <v>Nosy Crow</v>
      </c>
      <c r="H4390" s="2" t="str">
        <f>"2021"</f>
        <v>2021</v>
      </c>
      <c r="I4390" s="3" t="str">
        <f>""</f>
        <v/>
      </c>
    </row>
    <row r="4391" spans="1:9" x14ac:dyDescent="0.3">
      <c r="A4391" s="2">
        <v>4390</v>
      </c>
      <c r="B4391" s="4" t="s">
        <v>3</v>
      </c>
      <c r="C4391" s="3" t="str">
        <f>"TFC000004366"</f>
        <v>TFC000004366</v>
      </c>
      <c r="D4391" s="3" t="str">
        <f>"F800-22-0175"</f>
        <v>F800-22-0175</v>
      </c>
      <c r="E4391" s="3" t="str">
        <f>"Snoopy's Happy Tales!"</f>
        <v>Snoopy's Happy Tales!</v>
      </c>
      <c r="F4391" s="3" t="str">
        <f>"by Charles M. Schulz"</f>
        <v>by Charles M. Schulz</v>
      </c>
      <c r="G4391" s="3" t="str">
        <f>"Simon Spotlight"</f>
        <v>Simon Spotlight</v>
      </c>
      <c r="H4391" s="2" t="str">
        <f>"2021"</f>
        <v>2021</v>
      </c>
      <c r="I4391" s="3" t="str">
        <f>""</f>
        <v/>
      </c>
    </row>
    <row r="4392" spans="1:9" x14ac:dyDescent="0.3">
      <c r="A4392" s="2">
        <v>4391</v>
      </c>
      <c r="B4392" s="4" t="s">
        <v>3</v>
      </c>
      <c r="C4392" s="3" t="str">
        <f>"TFC000004367"</f>
        <v>TFC000004367</v>
      </c>
      <c r="D4392" s="3" t="str">
        <f>"F800-22-0176"</f>
        <v>F800-22-0176</v>
      </c>
      <c r="E4392" s="3" t="str">
        <f>"Dream Bun"</f>
        <v>Dream Bun</v>
      </c>
      <c r="F4392" s="3" t="str">
        <f>"based on the Alex T. Smith Claude stories, [storybook text written by Davey Moore]"</f>
        <v>based on the Alex T. Smith Claude stories, [storybook text written by Davey Moore]</v>
      </c>
      <c r="G4392" s="3" t="str">
        <f>"Hodder Children's Books"</f>
        <v>Hodder Children's Books</v>
      </c>
      <c r="H4392" s="2" t="str">
        <f>"2020"</f>
        <v>2020</v>
      </c>
      <c r="I4392" s="3" t="str">
        <f>""</f>
        <v/>
      </c>
    </row>
    <row r="4393" spans="1:9" x14ac:dyDescent="0.3">
      <c r="A4393" s="2">
        <v>4392</v>
      </c>
      <c r="B4393" s="4" t="s">
        <v>3</v>
      </c>
      <c r="C4393" s="3" t="str">
        <f>"TFC000004369"</f>
        <v>TFC000004369</v>
      </c>
      <c r="D4393" s="3" t="str">
        <f>"F800-22-0178"</f>
        <v>F800-22-0178</v>
      </c>
      <c r="E4393" s="3" t="str">
        <f>"Earn it!"</f>
        <v>Earn it!</v>
      </c>
      <c r="F4393" s="3" t="str">
        <f>"by Cinders McLeod"</f>
        <v>by Cinders McLeod</v>
      </c>
      <c r="G4393" s="3" t="str">
        <f>"Nancy Paulsen Books"</f>
        <v>Nancy Paulsen Books</v>
      </c>
      <c r="H4393" s="2" t="str">
        <f>"2017."</f>
        <v>2017.</v>
      </c>
      <c r="I4393" s="3" t="str">
        <f>""</f>
        <v/>
      </c>
    </row>
    <row r="4394" spans="1:9" x14ac:dyDescent="0.3">
      <c r="A4394" s="2">
        <v>4393</v>
      </c>
      <c r="B4394" s="4" t="s">
        <v>3</v>
      </c>
      <c r="C4394" s="3" t="str">
        <f>"TFC000004372"</f>
        <v>TFC000004372</v>
      </c>
      <c r="D4394" s="3" t="str">
        <f>"F800-22-0181"</f>
        <v>F800-22-0181</v>
      </c>
      <c r="E4394" s="3" t="str">
        <f>"Art &amp; Max"</f>
        <v>Art &amp; Max</v>
      </c>
      <c r="F4394" s="3" t="str">
        <f>"by David Wiesner"</f>
        <v>by David Wiesner</v>
      </c>
      <c r="G4394" s="3" t="str">
        <f>"Clarion Books"</f>
        <v>Clarion Books</v>
      </c>
      <c r="H4394" s="2" t="str">
        <f>"2010"</f>
        <v>2010</v>
      </c>
      <c r="I4394" s="3" t="str">
        <f>""</f>
        <v/>
      </c>
    </row>
    <row r="4395" spans="1:9" x14ac:dyDescent="0.3">
      <c r="A4395" s="2">
        <v>4394</v>
      </c>
      <c r="B4395" s="4" t="s">
        <v>3</v>
      </c>
      <c r="C4395" s="3" t="str">
        <f>"TFC000004854"</f>
        <v>TFC000004854</v>
      </c>
      <c r="D4395" s="3" t="str">
        <f>"F500-22-0584"</f>
        <v>F500-22-0584</v>
      </c>
      <c r="E4395" s="3" t="str">
        <f>"Vehicles"</f>
        <v>Vehicles</v>
      </c>
      <c r="F4395" s="3" t="str">
        <f>"By Anne-Sophie Baumann, Illustrated by Helene Convert, [Translation by Wendeline A. Hardenberg]"</f>
        <v>By Anne-Sophie Baumann, Illustrated by Helene Convert, [Translation by Wendeline A. Hardenberg]</v>
      </c>
      <c r="G4395" s="3" t="str">
        <f>"Twirl"</f>
        <v>Twirl</v>
      </c>
      <c r="H4395" s="2" t="str">
        <f>"2020"</f>
        <v>2020</v>
      </c>
      <c r="I4395" s="3" t="str">
        <f>""</f>
        <v/>
      </c>
    </row>
    <row r="4396" spans="1:9" x14ac:dyDescent="0.3">
      <c r="A4396" s="2">
        <v>4395</v>
      </c>
      <c r="B4396" s="4" t="s">
        <v>3</v>
      </c>
      <c r="C4396" s="3" t="str">
        <f>"TFC000004852"</f>
        <v>TFC000004852</v>
      </c>
      <c r="D4396" s="3" t="str">
        <f>"F800-22-0582"</f>
        <v>F800-22-0582</v>
      </c>
      <c r="E4396" s="3" t="str">
        <f>"Our girl"</f>
        <v>Our girl</v>
      </c>
      <c r="F4396" s="3" t="str">
        <f>"by Anthony Browne"</f>
        <v>by Anthony Browne</v>
      </c>
      <c r="G4396" s="3" t="str">
        <f>"Picture Corgi"</f>
        <v>Picture Corgi</v>
      </c>
      <c r="H4396" s="2" t="str">
        <f>"2021"</f>
        <v>2021</v>
      </c>
      <c r="I4396" s="3" t="str">
        <f>""</f>
        <v/>
      </c>
    </row>
    <row r="4397" spans="1:9" x14ac:dyDescent="0.3">
      <c r="A4397" s="2">
        <v>4396</v>
      </c>
      <c r="B4397" s="4" t="s">
        <v>3</v>
      </c>
      <c r="C4397" s="3" t="str">
        <f>"TFC000004391"</f>
        <v>TFC000004391</v>
      </c>
      <c r="D4397" s="3" t="str">
        <f>"F800-22-0200"</f>
        <v>F800-22-0200</v>
      </c>
      <c r="E4397" s="3" t="str">
        <f>"1, 2, 3 Countig rhymes"</f>
        <v>1, 2, 3 Countig rhymes</v>
      </c>
      <c r="F4397" s="3" t="str">
        <f>"written by Matt Mitter, illusrtrated by Doug Cushman"</f>
        <v>written by Matt Mitter, illusrtrated by Doug Cushman</v>
      </c>
      <c r="G4397" s="3" t="str">
        <f>"Gareth Stevens"</f>
        <v>Gareth Stevens</v>
      </c>
      <c r="H4397" s="2" t="str">
        <f>"2004"</f>
        <v>2004</v>
      </c>
      <c r="I4397" s="3" t="str">
        <f>""</f>
        <v/>
      </c>
    </row>
    <row r="4398" spans="1:9" x14ac:dyDescent="0.3">
      <c r="A4398" s="2">
        <v>4397</v>
      </c>
      <c r="B4398" s="4" t="s">
        <v>3</v>
      </c>
      <c r="C4398" s="3" t="str">
        <f>"TFC000004709"</f>
        <v>TFC000004709</v>
      </c>
      <c r="D4398" s="3" t="str">
        <f>"F800-22-0518"</f>
        <v>F800-22-0518</v>
      </c>
      <c r="E4398" s="3" t="str">
        <f>"The Summer I Turned Pretty"</f>
        <v>The Summer I Turned Pretty</v>
      </c>
      <c r="F4398" s="3" t="str">
        <f>"by Jenny Han"</f>
        <v>by Jenny Han</v>
      </c>
      <c r="G4398" s="3" t="str">
        <f>"Simon &amp; Schuster"</f>
        <v>Simon &amp; Schuster</v>
      </c>
      <c r="H4398" s="2" t="str">
        <f>"2022"</f>
        <v>2022</v>
      </c>
      <c r="I4398" s="3" t="str">
        <f>""</f>
        <v/>
      </c>
    </row>
    <row r="4399" spans="1:9" x14ac:dyDescent="0.3">
      <c r="A4399" s="2">
        <v>4398</v>
      </c>
      <c r="B4399" s="4" t="s">
        <v>3</v>
      </c>
      <c r="C4399" s="3" t="str">
        <f>"TFC000004851"</f>
        <v>TFC000004851</v>
      </c>
      <c r="D4399" s="3" t="str">
        <f>"F800-22-0581"</f>
        <v>F800-22-0581</v>
      </c>
      <c r="E4399" s="3" t="str">
        <f>"Pirate stew"</f>
        <v>Pirate stew</v>
      </c>
      <c r="F4399" s="3" t="str">
        <f>"by Neil Gaiman, illustrated by Chris Riddell"</f>
        <v>by Neil Gaiman, illustrated by Chris Riddell</v>
      </c>
      <c r="G4399" s="3" t="str">
        <f>"Bloomsbury Children's Books"</f>
        <v>Bloomsbury Children's Books</v>
      </c>
      <c r="H4399" s="2" t="str">
        <f>"2020"</f>
        <v>2020</v>
      </c>
      <c r="I4399" s="3" t="str">
        <f>""</f>
        <v/>
      </c>
    </row>
    <row r="4400" spans="1:9" x14ac:dyDescent="0.3">
      <c r="A4400" s="2">
        <v>4399</v>
      </c>
      <c r="B4400" s="4" t="s">
        <v>3</v>
      </c>
      <c r="C4400" s="3" t="str">
        <f>"TFC000004850"</f>
        <v>TFC000004850</v>
      </c>
      <c r="D4400" s="3" t="str">
        <f>"F400-22-0580"</f>
        <v>F400-22-0580</v>
      </c>
      <c r="E4400" s="3" t="str">
        <f>"Number Blocks : annual 2021"</f>
        <v>Number Blocks : annual 2021</v>
      </c>
      <c r="F4400" s="3" t="str">
        <f>"by Gemma Barder"</f>
        <v>by Gemma Barder</v>
      </c>
      <c r="G4400" s="3" t="str">
        <f>"Sweet Cherry"</f>
        <v>Sweet Cherry</v>
      </c>
      <c r="H4400" s="2" t="str">
        <f>"2020"</f>
        <v>2020</v>
      </c>
      <c r="I4400" s="3" t="str">
        <f>""</f>
        <v/>
      </c>
    </row>
    <row r="4401" spans="1:9" x14ac:dyDescent="0.3">
      <c r="A4401" s="2">
        <v>4400</v>
      </c>
      <c r="B4401" s="4" t="s">
        <v>3</v>
      </c>
      <c r="C4401" s="3" t="str">
        <f>"TFC000004848"</f>
        <v>TFC000004848</v>
      </c>
      <c r="D4401" s="3" t="str">
        <f>"F700-22-0578"</f>
        <v>F700-22-0578</v>
      </c>
      <c r="E4401" s="3" t="str">
        <f>"Guinness World Records 2023"</f>
        <v>Guinness World Records 2023</v>
      </c>
      <c r="F4401" s="3" t="str">
        <f>"by Guinness World Records"</f>
        <v>by Guinness World Records</v>
      </c>
      <c r="G4401" s="3" t="str">
        <f>"Guinness World Records Limited"</f>
        <v>Guinness World Records Limited</v>
      </c>
      <c r="H4401" s="2" t="str">
        <f>"2022"</f>
        <v>2022</v>
      </c>
      <c r="I4401" s="3" t="str">
        <f>""</f>
        <v/>
      </c>
    </row>
    <row r="4402" spans="1:9" x14ac:dyDescent="0.3">
      <c r="A4402" s="2">
        <v>4401</v>
      </c>
      <c r="B4402" s="4" t="s">
        <v>3</v>
      </c>
      <c r="C4402" s="3" t="str">
        <f>"TFC000004814"</f>
        <v>TFC000004814</v>
      </c>
      <c r="D4402" s="3" t="str">
        <f>"F800-22-0552"</f>
        <v>F800-22-0552</v>
      </c>
      <c r="E4402" s="3" t="str">
        <f>"(The) Kissing Booth. 3, One Last Time"</f>
        <v>(The) Kissing Booth. 3, One Last Time</v>
      </c>
      <c r="F4402" s="3" t="str">
        <f>"by Beth Reekles"</f>
        <v>by Beth Reekles</v>
      </c>
      <c r="G4402" s="3" t="str">
        <f>"Ember"</f>
        <v>Ember</v>
      </c>
      <c r="H4402" s="2" t="str">
        <f>"2021"</f>
        <v>2021</v>
      </c>
      <c r="I4402" s="3" t="str">
        <f>""</f>
        <v/>
      </c>
    </row>
    <row r="4403" spans="1:9" x14ac:dyDescent="0.3">
      <c r="A4403" s="2">
        <v>4402</v>
      </c>
      <c r="B4403" s="4" t="s">
        <v>3</v>
      </c>
      <c r="C4403" s="3" t="str">
        <f>"TFC000004813"</f>
        <v>TFC000004813</v>
      </c>
      <c r="D4403" s="3" t="str">
        <f>"F800-22-0551"</f>
        <v>F800-22-0551</v>
      </c>
      <c r="E4403" s="3" t="str">
        <f>"(The)Three wishes"</f>
        <v>(The)Three wishes</v>
      </c>
      <c r="F4403" s="3" t="str">
        <f>"by Anthony Browne"</f>
        <v>by Anthony Browne</v>
      </c>
      <c r="G4403" s="3" t="str">
        <f>"Penguin Random House Children's UK"</f>
        <v>Penguin Random House Children's UK</v>
      </c>
      <c r="H4403" s="2" t="str">
        <f>"2022"</f>
        <v>2022</v>
      </c>
      <c r="I4403" s="3" t="str">
        <f>""</f>
        <v/>
      </c>
    </row>
    <row r="4404" spans="1:9" x14ac:dyDescent="0.3">
      <c r="A4404" s="2">
        <v>4403</v>
      </c>
      <c r="B4404" s="4" t="s">
        <v>3</v>
      </c>
      <c r="C4404" s="3" t="str">
        <f>"TFC000004811"</f>
        <v>TFC000004811</v>
      </c>
      <c r="D4404" s="3" t="str">
        <f>"F800-22-0549"</f>
        <v>F800-22-0549</v>
      </c>
      <c r="E4404" s="3" t="str">
        <f>"American born Chinese"</f>
        <v>American born Chinese</v>
      </c>
      <c r="F4404" s="3" t="str">
        <f>"by Gene Luen Yang, color by Lark Pien"</f>
        <v>by Gene Luen Yang, color by Lark Pien</v>
      </c>
      <c r="G4404" s="3" t="str">
        <f>"First Second"</f>
        <v>First Second</v>
      </c>
      <c r="H4404" s="2" t="str">
        <f>"2021"</f>
        <v>2021</v>
      </c>
      <c r="I4404" s="3" t="str">
        <f>""</f>
        <v/>
      </c>
    </row>
    <row r="4405" spans="1:9" x14ac:dyDescent="0.3">
      <c r="A4405" s="2">
        <v>4404</v>
      </c>
      <c r="B4405" s="4" t="s">
        <v>3</v>
      </c>
      <c r="C4405" s="3" t="str">
        <f>"TFC000004723"</f>
        <v>TFC000004723</v>
      </c>
      <c r="D4405" s="3" t="str">
        <f>"F400-22-0522"</f>
        <v>F400-22-0522</v>
      </c>
      <c r="E4405" s="3" t="str">
        <f>"Unstoppable Us. 1, How humans took over the world"</f>
        <v>Unstoppable Us. 1, How humans took over the world</v>
      </c>
      <c r="F4405" s="3" t="str">
        <f>"by Yuval Noah Harari, illustrated by Ricard Zaplana Ruiz"</f>
        <v>by Yuval Noah Harari, illustrated by Ricard Zaplana Ruiz</v>
      </c>
      <c r="G4405" s="3" t="str">
        <f>"Puffin"</f>
        <v>Puffin</v>
      </c>
      <c r="H4405" s="2" t="str">
        <f>"2022"</f>
        <v>2022</v>
      </c>
      <c r="I4405" s="3" t="str">
        <f>""</f>
        <v/>
      </c>
    </row>
    <row r="4406" spans="1:9" x14ac:dyDescent="0.3">
      <c r="A4406" s="2">
        <v>4405</v>
      </c>
      <c r="B4406" s="4" t="s">
        <v>3</v>
      </c>
      <c r="C4406" s="3" t="str">
        <f>"TFC000004722"</f>
        <v>TFC000004722</v>
      </c>
      <c r="D4406" s="3" t="str">
        <f>"F400-22-0521"</f>
        <v>F400-22-0521</v>
      </c>
      <c r="E4406" s="3" t="str">
        <f>"Numberblocks Annual 2023"</f>
        <v>Numberblocks Annual 2023</v>
      </c>
      <c r="F4406" s="3" t="str">
        <f>"by Sweet Cherry"</f>
        <v>by Sweet Cherry</v>
      </c>
      <c r="G4406" s="3" t="str">
        <f>"SweetCherry"</f>
        <v>SweetCherry</v>
      </c>
      <c r="H4406" s="2" t="str">
        <f>"2022"</f>
        <v>2022</v>
      </c>
      <c r="I4406" s="3" t="str">
        <f>""</f>
        <v/>
      </c>
    </row>
    <row r="4407" spans="1:9" x14ac:dyDescent="0.3">
      <c r="A4407" s="2">
        <v>4406</v>
      </c>
      <c r="B4407" s="4" t="s">
        <v>3</v>
      </c>
      <c r="C4407" s="3" t="str">
        <f>"TFC000004706"</f>
        <v>TFC000004706</v>
      </c>
      <c r="D4407" s="3" t="str">
        <f>"F800-22-0515"</f>
        <v>F800-22-0515</v>
      </c>
      <c r="E4407" s="3" t="str">
        <f>"(The)156-Storey Treehouse"</f>
        <v>(The)156-Storey Treehouse</v>
      </c>
      <c r="F4407" s="3" t="str">
        <f>"by Andy Griffiths, Terry Denton"</f>
        <v>by Andy Griffiths, Terry Denton</v>
      </c>
      <c r="G4407" s="3" t="str">
        <f>"Macmillan"</f>
        <v>Macmillan</v>
      </c>
      <c r="H4407" s="2" t="str">
        <f>"2022"</f>
        <v>2022</v>
      </c>
      <c r="I4407" s="3" t="str">
        <f>""</f>
        <v/>
      </c>
    </row>
    <row r="4408" spans="1:9" x14ac:dyDescent="0.3">
      <c r="A4408" s="2">
        <v>4407</v>
      </c>
      <c r="B4408" s="4" t="s">
        <v>3</v>
      </c>
      <c r="C4408" s="3" t="str">
        <f>"TFC000004868"</f>
        <v>TFC000004868</v>
      </c>
      <c r="D4408" s="3" t="str">
        <f>"F300-22-0598"</f>
        <v>F300-22-0598</v>
      </c>
      <c r="E4408" s="3" t="str">
        <f>"Numberblocks 1-20 : (A)Lift the Flap Book"</f>
        <v>Numberblocks 1-20 : (A)Lift the Flap Book</v>
      </c>
      <c r="F4408" s="3" t="str">
        <f>"by Sweet Cherry Publishing"</f>
        <v>by Sweet Cherry Publishing</v>
      </c>
      <c r="G4408" s="3" t="str">
        <f>"Sweet Cherry Publishing"</f>
        <v>Sweet Cherry Publishing</v>
      </c>
      <c r="H4408" s="2" t="str">
        <f>"2021"</f>
        <v>2021</v>
      </c>
      <c r="I4408" s="3" t="str">
        <f>""</f>
        <v/>
      </c>
    </row>
    <row r="4409" spans="1:9" x14ac:dyDescent="0.3">
      <c r="A4409" s="2">
        <v>4408</v>
      </c>
      <c r="B4409" s="4" t="s">
        <v>3</v>
      </c>
      <c r="C4409" s="3" t="str">
        <f>"TFC000004836"</f>
        <v>TFC000004836</v>
      </c>
      <c r="D4409" s="3" t="str">
        <f>"F800-22-0566"</f>
        <v>F800-22-0566</v>
      </c>
      <c r="E4409" s="3" t="str">
        <f>"How to Be Cooler than Cool"</f>
        <v>How to Be Cooler than Cool</v>
      </c>
      <c r="F4409" s="3" t="str">
        <f>"by Sean Taylor, Illustrated by Jean Jullien"</f>
        <v>by Sean Taylor, Illustrated by Jean Jullien</v>
      </c>
      <c r="G4409" s="3" t="str">
        <f>"Walker Books Ltd"</f>
        <v>Walker Books Ltd</v>
      </c>
      <c r="H4409" s="2" t="str">
        <f>"2022"</f>
        <v>2022</v>
      </c>
      <c r="I4409" s="3" t="str">
        <f>""</f>
        <v/>
      </c>
    </row>
    <row r="4410" spans="1:9" x14ac:dyDescent="0.3">
      <c r="A4410" s="2">
        <v>4409</v>
      </c>
      <c r="B4410" s="4" t="s">
        <v>3</v>
      </c>
      <c r="C4410" s="3" t="str">
        <f>"TFC000004872"</f>
        <v>TFC000004872</v>
      </c>
      <c r="D4410" s="3" t="str">
        <f>"F800-22-0602"</f>
        <v>F800-22-0602</v>
      </c>
      <c r="E4410" s="3" t="str">
        <f>"Queen's Hope"</f>
        <v>Queen's Hope</v>
      </c>
      <c r="F4410" s="3" t="str">
        <f>"written by E. K. Johnston"</f>
        <v>written by E. K. Johnston</v>
      </c>
      <c r="G4410" s="3" t="str">
        <f>"Disney Lucasfilm Press"</f>
        <v>Disney Lucasfilm Press</v>
      </c>
      <c r="H4410" s="2" t="str">
        <f>"2022"</f>
        <v>2022</v>
      </c>
      <c r="I4410" s="3" t="str">
        <f>""</f>
        <v/>
      </c>
    </row>
    <row r="4411" spans="1:9" x14ac:dyDescent="0.3">
      <c r="A4411" s="2">
        <v>4410</v>
      </c>
      <c r="B4411" s="4" t="s">
        <v>3</v>
      </c>
      <c r="C4411" s="3" t="str">
        <f>"TFC000004873"</f>
        <v>TFC000004873</v>
      </c>
      <c r="D4411" s="3" t="str">
        <f>"F800-22-0603"</f>
        <v>F800-22-0603</v>
      </c>
      <c r="E4411" s="3" t="str">
        <f>"(The)Little Book of Joy : 365 Ways to Celebrate Every Day"</f>
        <v>(The)Little Book of Joy : 365 Ways to Celebrate Every Day</v>
      </c>
      <c r="F4411" s="3" t="str">
        <f>"by Joanne Ruelos Diaz, ill Annelies Draws"</f>
        <v>by Joanne Ruelos Diaz, ill Annelies Draws</v>
      </c>
      <c r="G4411" s="3" t="str">
        <f>"Magic Cat"</f>
        <v>Magic Cat</v>
      </c>
      <c r="H4411" s="2" t="str">
        <f>"2021"</f>
        <v>2021</v>
      </c>
      <c r="I4411" s="3" t="str">
        <f>""</f>
        <v/>
      </c>
    </row>
    <row r="4412" spans="1:9" x14ac:dyDescent="0.3">
      <c r="A4412" s="2">
        <v>4411</v>
      </c>
      <c r="B4412" s="4" t="s">
        <v>3</v>
      </c>
      <c r="C4412" s="3" t="str">
        <f>"TFC000004821"</f>
        <v>TFC000004821</v>
      </c>
      <c r="D4412" s="3" t="str">
        <f>"F800-22-0558"</f>
        <v>F800-22-0558</v>
      </c>
      <c r="E4412" s="3" t="str">
        <f>"October, October"</f>
        <v>October, October</v>
      </c>
      <c r="F4412" s="3" t="str">
        <f>"by Katya Balen"</f>
        <v>by Katya Balen</v>
      </c>
      <c r="G4412" s="3" t="str">
        <f>"Bloomsbury"</f>
        <v>Bloomsbury</v>
      </c>
      <c r="H4412" s="2" t="str">
        <f>"2021"</f>
        <v>2021</v>
      </c>
      <c r="I4412" s="3" t="str">
        <f>""</f>
        <v/>
      </c>
    </row>
    <row r="4413" spans="1:9" x14ac:dyDescent="0.3">
      <c r="A4413" s="2">
        <v>4412</v>
      </c>
      <c r="B4413" s="4" t="s">
        <v>3</v>
      </c>
      <c r="C4413" s="3" t="str">
        <f>"TFC000004819"</f>
        <v>TFC000004819</v>
      </c>
      <c r="D4413" s="3" t="str">
        <f>"F800-22-0556"</f>
        <v>F800-22-0556</v>
      </c>
      <c r="E4413" s="3" t="str">
        <f>"Magic candies"</f>
        <v>Magic candies</v>
      </c>
      <c r="F4413" s="3" t="str">
        <f>"by Heena Baek, translated by Sophie Bowman"</f>
        <v>by Heena Baek, translated by Sophie Bowman</v>
      </c>
      <c r="G4413" s="3" t="str">
        <f>"Amazon Crossing Kids"</f>
        <v>Amazon Crossing Kids</v>
      </c>
      <c r="H4413" s="2" t="str">
        <f>"2021"</f>
        <v>2021</v>
      </c>
      <c r="I4413" s="3" t="str">
        <f>""</f>
        <v/>
      </c>
    </row>
    <row r="4414" spans="1:9" x14ac:dyDescent="0.3">
      <c r="A4414" s="2">
        <v>4413</v>
      </c>
      <c r="B4414" s="4" t="s">
        <v>3</v>
      </c>
      <c r="C4414" s="3" t="str">
        <f>"TFC000004816"</f>
        <v>TFC000004816</v>
      </c>
      <c r="D4414" s="3" t="str">
        <f>"F800-22-0554"</f>
        <v>F800-22-0554</v>
      </c>
      <c r="E4414" s="3" t="str">
        <f>"(The)Last cuentista"</f>
        <v>(The)Last cuentista</v>
      </c>
      <c r="F4414" s="3" t="str">
        <f>"by Donna Barba Higuera"</f>
        <v>by Donna Barba Higuera</v>
      </c>
      <c r="G4414" s="3" t="str">
        <f>"templar publishing"</f>
        <v>templar publishing</v>
      </c>
      <c r="H4414" s="2" t="str">
        <f>"2022"</f>
        <v>2022</v>
      </c>
      <c r="I4414" s="3" t="str">
        <f>""</f>
        <v/>
      </c>
    </row>
    <row r="4415" spans="1:9" x14ac:dyDescent="0.3">
      <c r="A4415" s="2">
        <v>4414</v>
      </c>
      <c r="B4415" s="4" t="s">
        <v>3</v>
      </c>
      <c r="C4415" s="3" t="str">
        <f>"TFC000004809"</f>
        <v>TFC000004809</v>
      </c>
      <c r="D4415" s="3" t="str">
        <f>"F600-22-0547"</f>
        <v>F600-22-0547</v>
      </c>
      <c r="E4415" s="3" t="str">
        <f>"(The)Moviemaking Magic of Marvel Studios : Spider-Man"</f>
        <v>(The)Moviemaking Magic of Marvel Studios : Spider-Man</v>
      </c>
      <c r="F4415" s="3" t="str">
        <f>"by Eleni Roussos"</f>
        <v>by Eleni Roussos</v>
      </c>
      <c r="G4415" s="3" t="str">
        <f>"Abrams Books for Young Readers"</f>
        <v>Abrams Books for Young Readers</v>
      </c>
      <c r="H4415" s="2" t="str">
        <f>"2021"</f>
        <v>2021</v>
      </c>
      <c r="I4415" s="3" t="str">
        <f>""</f>
        <v/>
      </c>
    </row>
    <row r="4416" spans="1:9" x14ac:dyDescent="0.3">
      <c r="A4416" s="2">
        <v>4415</v>
      </c>
      <c r="B4416" s="4" t="s">
        <v>3</v>
      </c>
      <c r="C4416" s="3" t="str">
        <f>"TFC000004806"</f>
        <v>TFC000004806</v>
      </c>
      <c r="D4416" s="3" t="str">
        <f>"F800-22-0544"</f>
        <v>F800-22-0544</v>
      </c>
      <c r="E4416" s="3" t="str">
        <f>"This Is Still Not a Book"</f>
        <v>This Is Still Not a Book</v>
      </c>
      <c r="F4416" s="3" t="str">
        <f>"by Jean Jullien"</f>
        <v>by Jean Jullien</v>
      </c>
      <c r="G4416" s="3" t="str">
        <f>"Phaidon"</f>
        <v>Phaidon</v>
      </c>
      <c r="H4416" s="2" t="str">
        <f>"2021"</f>
        <v>2021</v>
      </c>
      <c r="I4416" s="3" t="str">
        <f>""</f>
        <v/>
      </c>
    </row>
    <row r="4417" spans="1:9" x14ac:dyDescent="0.3">
      <c r="A4417" s="2">
        <v>4416</v>
      </c>
      <c r="B4417" s="4" t="s">
        <v>3</v>
      </c>
      <c r="C4417" s="3" t="str">
        <f>"TFC000004804"</f>
        <v>TFC000004804</v>
      </c>
      <c r="D4417" s="3" t="str">
        <f>"F600-22-0542"</f>
        <v>F600-22-0542</v>
      </c>
      <c r="E4417" s="3" t="str">
        <f>"(Pokemon)Super extra deluxe essential handbook"</f>
        <v>(Pokemon)Super extra deluxe essential handbook</v>
      </c>
      <c r="F4417" s="3" t="str">
        <f>"by Scholastic"</f>
        <v>by Scholastic</v>
      </c>
      <c r="G4417" s="3" t="str">
        <f>"Scholastic"</f>
        <v>Scholastic</v>
      </c>
      <c r="H4417" s="2" t="str">
        <f>"2021"</f>
        <v>2021</v>
      </c>
      <c r="I4417" s="3" t="str">
        <f>""</f>
        <v/>
      </c>
    </row>
    <row r="4418" spans="1:9" x14ac:dyDescent="0.3">
      <c r="A4418" s="2">
        <v>4417</v>
      </c>
      <c r="B4418" s="4" t="s">
        <v>3</v>
      </c>
      <c r="C4418" s="3" t="str">
        <f>"TFC000004789"</f>
        <v>TFC000004789</v>
      </c>
      <c r="D4418" s="3" t="str">
        <f>"F000-22-0528"</f>
        <v>F000-22-0528</v>
      </c>
      <c r="E4418" s="3" t="str">
        <f>"Everything You Need to Ace Biology in One Big Fat Notebook"</f>
        <v>Everything You Need to Ace Biology in One Big Fat Notebook</v>
      </c>
      <c r="F4418" s="3" t="str">
        <f>"by Workman Publishing, Jennifer Swanson"</f>
        <v>by Workman Publishing, Jennifer Swanson</v>
      </c>
      <c r="G4418" s="3" t="str">
        <f>"Workman"</f>
        <v>Workman</v>
      </c>
      <c r="H4418" s="2" t="str">
        <f>"2020"</f>
        <v>2020</v>
      </c>
      <c r="I4418" s="3" t="str">
        <f>""</f>
        <v/>
      </c>
    </row>
    <row r="4419" spans="1:9" x14ac:dyDescent="0.3">
      <c r="A4419" s="2">
        <v>4418</v>
      </c>
      <c r="B4419" s="4" t="s">
        <v>3</v>
      </c>
      <c r="C4419" s="3" t="str">
        <f>"TFC000004790"</f>
        <v>TFC000004790</v>
      </c>
      <c r="D4419" s="3" t="str">
        <f>"F000-22-0529"</f>
        <v>F000-22-0529</v>
      </c>
      <c r="E4419" s="3" t="str">
        <f>"Everything You Need to Ace Chemistry in One Big Fat Notebook"</f>
        <v>Everything You Need to Ace Chemistry in One Big Fat Notebook</v>
      </c>
      <c r="F4419" s="3" t="str">
        <f>"by Workman Publishing, Jennifer Swanson"</f>
        <v>by Workman Publishing, Jennifer Swanson</v>
      </c>
      <c r="G4419" s="3" t="str">
        <f>"Workman"</f>
        <v>Workman</v>
      </c>
      <c r="H4419" s="2" t="str">
        <f>"2020"</f>
        <v>2020</v>
      </c>
      <c r="I4419" s="3" t="str">
        <f>""</f>
        <v/>
      </c>
    </row>
  </sheetData>
  <autoFilter ref="B1:B4420" xr:uid="{679CC8BA-67A5-435A-8827-9D436CFC3B50}"/>
  <sortState ref="A2:I4419">
    <sortCondition ref="B2:B4419"/>
  </sortState>
  <phoneticPr fontId="1" type="noConversion"/>
  <pageMargins left="0.7" right="0.7" top="0.75" bottom="0.75" header="0.3" footer="0.3"/>
  <pageSetup paperSize="9" orientation="portrait" horizontalDpi="0" verticalDpi="0" r:id="rId1"/>
  <ignoredErrors>
    <ignoredError sqref="B1:B1939 B1941:B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PC5</cp:lastModifiedBy>
  <dcterms:created xsi:type="dcterms:W3CDTF">2023-05-17T08:08:37Z</dcterms:created>
  <dcterms:modified xsi:type="dcterms:W3CDTF">2023-05-17T08:21:56Z</dcterms:modified>
</cp:coreProperties>
</file>